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.ПРОЕКТ БЮДЖЕТА\ПРОЕКТ БЮДЖЕТА 2026-2028\РАСЧЕТ ДОТАЦИЙ 2026-2028\"/>
    </mc:Choice>
  </mc:AlternateContent>
  <xr:revisionPtr revIDLastSave="0" documentId="13_ncr:1_{95F9369C-09F9-4B6C-8D8D-1DDEB22EDEFC}" xr6:coauthVersionLast="47" xr6:coauthVersionMax="47" xr10:uidLastSave="{00000000-0000-0000-0000-000000000000}"/>
  <bookViews>
    <workbookView xWindow="-120" yWindow="-120" windowWidth="29040" windowHeight="15840" activeTab="2" xr2:uid="{DCBF7AC2-D77B-4785-8F0C-FC7D7F6C2DBD}"/>
  </bookViews>
  <sheets>
    <sheet name="2026 - 10 млн" sheetId="2" r:id="rId1"/>
    <sheet name="2027 - 8,5 млн" sheetId="8" r:id="rId2"/>
    <sheet name="2028 - 7,0 млн" sheetId="9" r:id="rId3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6" i="9" l="1"/>
  <c r="O16" i="9"/>
  <c r="F15" i="9"/>
  <c r="E15" i="9"/>
  <c r="D15" i="9"/>
  <c r="C15" i="9"/>
  <c r="J14" i="9"/>
  <c r="H14" i="9"/>
  <c r="G14" i="9"/>
  <c r="J13" i="9"/>
  <c r="G13" i="9"/>
  <c r="H13" i="9" s="1"/>
  <c r="J12" i="9"/>
  <c r="G12" i="9"/>
  <c r="H12" i="9" s="1"/>
  <c r="J11" i="9"/>
  <c r="G11" i="9"/>
  <c r="H11" i="9" s="1"/>
  <c r="J10" i="9"/>
  <c r="H10" i="9"/>
  <c r="G10" i="9"/>
  <c r="J9" i="9"/>
  <c r="G9" i="9"/>
  <c r="H9" i="9" s="1"/>
  <c r="J8" i="9"/>
  <c r="G8" i="9"/>
  <c r="H8" i="9" s="1"/>
  <c r="J7" i="9"/>
  <c r="G7" i="9"/>
  <c r="J6" i="9"/>
  <c r="H6" i="9"/>
  <c r="G6" i="9"/>
  <c r="E5" i="9"/>
  <c r="F5" i="9" s="1"/>
  <c r="G5" i="9" s="1"/>
  <c r="H5" i="9" s="1"/>
  <c r="I5" i="9" s="1"/>
  <c r="J5" i="9" s="1"/>
  <c r="K5" i="9" s="1"/>
  <c r="L5" i="9" s="1"/>
  <c r="M5" i="9" s="1"/>
  <c r="N5" i="9" s="1"/>
  <c r="O5" i="9" s="1"/>
  <c r="P5" i="9" s="1"/>
  <c r="Q5" i="9" s="1"/>
  <c r="C5" i="9"/>
  <c r="D5" i="9" s="1"/>
  <c r="P12" i="8"/>
  <c r="P8" i="8"/>
  <c r="P9" i="8"/>
  <c r="P10" i="8"/>
  <c r="P11" i="8"/>
  <c r="O16" i="8"/>
  <c r="K16" i="8"/>
  <c r="J15" i="8"/>
  <c r="F15" i="8"/>
  <c r="E15" i="8"/>
  <c r="D15" i="8"/>
  <c r="C15" i="8"/>
  <c r="H14" i="8"/>
  <c r="I14" i="8" s="1"/>
  <c r="K14" i="8" s="1"/>
  <c r="G14" i="8"/>
  <c r="H13" i="8"/>
  <c r="I13" i="8" s="1"/>
  <c r="K13" i="8" s="1"/>
  <c r="G13" i="8"/>
  <c r="H12" i="8"/>
  <c r="I12" i="8" s="1"/>
  <c r="K12" i="8" s="1"/>
  <c r="G12" i="8"/>
  <c r="H11" i="8"/>
  <c r="I11" i="8" s="1"/>
  <c r="K11" i="8" s="1"/>
  <c r="G11" i="8"/>
  <c r="H10" i="8"/>
  <c r="I10" i="8" s="1"/>
  <c r="K10" i="8" s="1"/>
  <c r="G10" i="8"/>
  <c r="H9" i="8"/>
  <c r="I9" i="8" s="1"/>
  <c r="K9" i="8" s="1"/>
  <c r="G9" i="8"/>
  <c r="H8" i="8"/>
  <c r="I8" i="8" s="1"/>
  <c r="K8" i="8" s="1"/>
  <c r="G8" i="8"/>
  <c r="H7" i="8"/>
  <c r="I7" i="8" s="1"/>
  <c r="K7" i="8" s="1"/>
  <c r="G7" i="8"/>
  <c r="H6" i="8"/>
  <c r="I6" i="8" s="1"/>
  <c r="I15" i="8" s="1"/>
  <c r="K15" i="8" s="1"/>
  <c r="G6" i="8"/>
  <c r="G15" i="8" s="1"/>
  <c r="H15" i="8" s="1"/>
  <c r="E5" i="8"/>
  <c r="F5" i="8" s="1"/>
  <c r="G5" i="8" s="1"/>
  <c r="H5" i="8" s="1"/>
  <c r="I5" i="8" s="1"/>
  <c r="J5" i="8" s="1"/>
  <c r="K5" i="8" s="1"/>
  <c r="L5" i="8" s="1"/>
  <c r="M5" i="8" s="1"/>
  <c r="N5" i="8" s="1"/>
  <c r="O5" i="8" s="1"/>
  <c r="P5" i="8" s="1"/>
  <c r="Q5" i="8" s="1"/>
  <c r="C5" i="8"/>
  <c r="D5" i="8" s="1"/>
  <c r="I14" i="9" l="1"/>
  <c r="K14" i="9" s="1"/>
  <c r="J15" i="9"/>
  <c r="H7" i="9"/>
  <c r="I7" i="9" s="1"/>
  <c r="K7" i="9" s="1"/>
  <c r="G15" i="9"/>
  <c r="H15" i="9" s="1"/>
  <c r="I10" i="9" s="1"/>
  <c r="K10" i="9" s="1"/>
  <c r="I8" i="9"/>
  <c r="K8" i="9" s="1"/>
  <c r="I9" i="9"/>
  <c r="K9" i="9" s="1"/>
  <c r="I12" i="9"/>
  <c r="K12" i="9" s="1"/>
  <c r="I13" i="9"/>
  <c r="K13" i="9" s="1"/>
  <c r="L7" i="8"/>
  <c r="M7" i="8"/>
  <c r="N7" i="8" s="1"/>
  <c r="O7" i="8" s="1"/>
  <c r="L8" i="8"/>
  <c r="M8" i="8"/>
  <c r="N8" i="8" s="1"/>
  <c r="O8" i="8" s="1"/>
  <c r="L9" i="8"/>
  <c r="M9" i="8"/>
  <c r="N9" i="8" s="1"/>
  <c r="O9" i="8" s="1"/>
  <c r="L10" i="8"/>
  <c r="M10" i="8"/>
  <c r="N10" i="8" s="1"/>
  <c r="O10" i="8" s="1"/>
  <c r="L11" i="8"/>
  <c r="M11" i="8"/>
  <c r="N11" i="8" s="1"/>
  <c r="O11" i="8" s="1"/>
  <c r="L12" i="8"/>
  <c r="M12" i="8"/>
  <c r="N12" i="8" s="1"/>
  <c r="O12" i="8" s="1"/>
  <c r="L13" i="8"/>
  <c r="M13" i="8"/>
  <c r="N13" i="8" s="1"/>
  <c r="O13" i="8" s="1"/>
  <c r="L14" i="8"/>
  <c r="M14" i="8"/>
  <c r="N14" i="8" s="1"/>
  <c r="O14" i="8" s="1"/>
  <c r="K6" i="8"/>
  <c r="M12" i="9" l="1"/>
  <c r="N12" i="9" s="1"/>
  <c r="O12" i="9" s="1"/>
  <c r="L12" i="9"/>
  <c r="M8" i="9"/>
  <c r="N8" i="9" s="1"/>
  <c r="O8" i="9" s="1"/>
  <c r="L8" i="9"/>
  <c r="L7" i="9"/>
  <c r="M7" i="9"/>
  <c r="N7" i="9" s="1"/>
  <c r="O7" i="9" s="1"/>
  <c r="M14" i="9"/>
  <c r="N14" i="9" s="1"/>
  <c r="O14" i="9" s="1"/>
  <c r="L14" i="9"/>
  <c r="M10" i="9"/>
  <c r="N10" i="9" s="1"/>
  <c r="O10" i="9" s="1"/>
  <c r="L10" i="9"/>
  <c r="L13" i="9"/>
  <c r="M13" i="9"/>
  <c r="N13" i="9" s="1"/>
  <c r="O13" i="9" s="1"/>
  <c r="L9" i="9"/>
  <c r="M9" i="9"/>
  <c r="N9" i="9" s="1"/>
  <c r="O9" i="9" s="1"/>
  <c r="I11" i="9"/>
  <c r="K11" i="9" s="1"/>
  <c r="I6" i="9"/>
  <c r="L6" i="8"/>
  <c r="L15" i="8" s="1"/>
  <c r="M6" i="8"/>
  <c r="N6" i="8" s="1"/>
  <c r="K6" i="9" l="1"/>
  <c r="I15" i="9"/>
  <c r="K15" i="9" s="1"/>
  <c r="L11" i="9"/>
  <c r="M11" i="9"/>
  <c r="N11" i="9" s="1"/>
  <c r="O11" i="9" s="1"/>
  <c r="N15" i="8"/>
  <c r="O6" i="8"/>
  <c r="M6" i="9" l="1"/>
  <c r="N6" i="9" s="1"/>
  <c r="L6" i="9"/>
  <c r="L15" i="9" s="1"/>
  <c r="O15" i="8"/>
  <c r="O6" i="9" l="1"/>
  <c r="N15" i="9"/>
  <c r="P13" i="8"/>
  <c r="Q13" i="8" s="1"/>
  <c r="Q9" i="8"/>
  <c r="Q8" i="8"/>
  <c r="Q12" i="8"/>
  <c r="Q11" i="8"/>
  <c r="P7" i="8"/>
  <c r="Q7" i="8" s="1"/>
  <c r="Q10" i="8"/>
  <c r="P14" i="8"/>
  <c r="Q14" i="8" s="1"/>
  <c r="P6" i="8"/>
  <c r="O15" i="9" l="1"/>
  <c r="P15" i="8"/>
  <c r="Q6" i="8"/>
  <c r="P6" i="9" l="1"/>
  <c r="P9" i="9"/>
  <c r="P10" i="9"/>
  <c r="P13" i="9"/>
  <c r="Q13" i="9" s="1"/>
  <c r="P12" i="9"/>
  <c r="P11" i="9"/>
  <c r="Q11" i="9" s="1"/>
  <c r="Q6" i="9"/>
  <c r="Q12" i="9"/>
  <c r="Q10" i="9"/>
  <c r="Q9" i="9"/>
  <c r="P8" i="9"/>
  <c r="Q8" i="9" s="1"/>
  <c r="P14" i="9"/>
  <c r="Q14" i="9" s="1"/>
  <c r="P7" i="9"/>
  <c r="Q7" i="9" s="1"/>
  <c r="P16" i="8"/>
  <c r="Q15" i="8"/>
  <c r="P15" i="9" l="1"/>
  <c r="P16" i="9" l="1"/>
  <c r="Q15" i="9"/>
  <c r="K16" i="2" l="1"/>
  <c r="J15" i="2" l="1"/>
  <c r="F15" i="2"/>
  <c r="E15" i="2"/>
  <c r="D15" i="2"/>
  <c r="C15" i="2"/>
  <c r="G14" i="2"/>
  <c r="H14" i="2" s="1"/>
  <c r="G13" i="2"/>
  <c r="H13" i="2" s="1"/>
  <c r="G12" i="2"/>
  <c r="H12" i="2" s="1"/>
  <c r="G11" i="2"/>
  <c r="H11" i="2" s="1"/>
  <c r="G10" i="2"/>
  <c r="H10" i="2" s="1"/>
  <c r="G9" i="2"/>
  <c r="H9" i="2" s="1"/>
  <c r="G8" i="2"/>
  <c r="H8" i="2" s="1"/>
  <c r="G7" i="2"/>
  <c r="H7" i="2" s="1"/>
  <c r="G6" i="2"/>
  <c r="H6" i="2" s="1"/>
  <c r="C5" i="2"/>
  <c r="D5" i="2" s="1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G15" i="2" l="1"/>
  <c r="H15" i="2" s="1"/>
  <c r="I8" i="2" s="1"/>
  <c r="K8" i="2" s="1"/>
  <c r="L8" i="2" s="1"/>
  <c r="I10" i="2" l="1"/>
  <c r="K10" i="2" s="1"/>
  <c r="L10" i="2" s="1"/>
  <c r="I6" i="2"/>
  <c r="I12" i="2"/>
  <c r="K12" i="2" s="1"/>
  <c r="L12" i="2" s="1"/>
  <c r="I7" i="2"/>
  <c r="K7" i="2" s="1"/>
  <c r="L7" i="2" s="1"/>
  <c r="I13" i="2"/>
  <c r="K13" i="2" s="1"/>
  <c r="L13" i="2" s="1"/>
  <c r="I14" i="2"/>
  <c r="K14" i="2" s="1"/>
  <c r="L14" i="2" s="1"/>
  <c r="I9" i="2"/>
  <c r="K9" i="2" s="1"/>
  <c r="L9" i="2" s="1"/>
  <c r="I11" i="2"/>
  <c r="K11" i="2" s="1"/>
  <c r="L11" i="2" s="1"/>
  <c r="K6" i="2" l="1"/>
  <c r="L6" i="2" s="1"/>
  <c r="I15" i="2"/>
  <c r="K15" i="2" s="1"/>
  <c r="M7" i="2" l="1"/>
  <c r="N7" i="2" s="1"/>
  <c r="O7" i="2" s="1"/>
  <c r="L15" i="2" l="1"/>
  <c r="M14" i="2"/>
  <c r="N14" i="2" s="1"/>
  <c r="O14" i="2" s="1"/>
  <c r="M12" i="2"/>
  <c r="N12" i="2" s="1"/>
  <c r="O12" i="2" s="1"/>
  <c r="M10" i="2"/>
  <c r="N10" i="2" s="1"/>
  <c r="O10" i="2" s="1"/>
  <c r="M8" i="2"/>
  <c r="N8" i="2" s="1"/>
  <c r="O8" i="2" s="1"/>
  <c r="M6" i="2"/>
  <c r="N6" i="2" s="1"/>
  <c r="M13" i="2"/>
  <c r="N13" i="2" s="1"/>
  <c r="O13" i="2" s="1"/>
  <c r="M11" i="2"/>
  <c r="N11" i="2" s="1"/>
  <c r="O11" i="2" s="1"/>
  <c r="M9" i="2"/>
  <c r="N9" i="2" s="1"/>
  <c r="O9" i="2" s="1"/>
  <c r="O6" i="2" l="1"/>
  <c r="N15" i="2"/>
  <c r="O15" i="2" l="1"/>
  <c r="P6" i="2" s="1"/>
  <c r="P7" i="2" l="1"/>
  <c r="Q7" i="2" s="1"/>
  <c r="P10" i="2"/>
  <c r="Q10" i="2" s="1"/>
  <c r="P8" i="2"/>
  <c r="Q8" i="2" s="1"/>
  <c r="P13" i="2"/>
  <c r="Q13" i="2" s="1"/>
  <c r="P14" i="2"/>
  <c r="Q14" i="2" s="1"/>
  <c r="P11" i="2"/>
  <c r="Q11" i="2" s="1"/>
  <c r="P12" i="2"/>
  <c r="Q12" i="2" s="1"/>
  <c r="P9" i="2"/>
  <c r="Q9" i="2" s="1"/>
  <c r="Q6" i="2" l="1"/>
  <c r="P15" i="2"/>
  <c r="P16" i="2" l="1"/>
  <c r="Q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КочесоковаТЕ</author>
  </authors>
  <commentList>
    <comment ref="I16" authorId="0" shapeId="0" xr:uid="{378F4ECC-AE8D-4E1E-8CDB-30CDE2023B6D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ставим сумму фонда финансовой поддержки поселений, которую необходимо распределить
</t>
        </r>
      </text>
    </comment>
    <comment ref="L16" authorId="0" shapeId="0" xr:uid="{912CE60B-062B-449E-BA6C-AB1B4DAA8DA2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  <comment ref="L19" authorId="0" shapeId="0" xr:uid="{1CCDD8EA-779B-49D5-9927-BDA889E5C046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КочесоковаТЕ</author>
  </authors>
  <commentList>
    <comment ref="I16" authorId="0" shapeId="0" xr:uid="{B9629802-3143-4245-A899-FFA8DCE81C9B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ставим сумму фонда финансовой поддержки поселений, которую необходимо распределить
</t>
        </r>
      </text>
    </comment>
    <comment ref="L16" authorId="0" shapeId="0" xr:uid="{0DD4412B-B875-47C0-9A24-38C15B89E698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  <comment ref="L19" authorId="0" shapeId="0" xr:uid="{7AF5DE14-E91A-49B8-992E-2EA12B95E7B1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КочесоковаТЕ</author>
  </authors>
  <commentList>
    <comment ref="I16" authorId="0" shapeId="0" xr:uid="{228BC6FA-AA30-4B44-A97A-81BD905DA6C6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ставим сумму фонда финансовой поддержки поселений, которую необходимо распределить
</t>
        </r>
      </text>
    </comment>
    <comment ref="L16" authorId="0" shapeId="0" xr:uid="{5989C255-B880-4852-8B3E-FE11A46E4FF2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</commentList>
</comments>
</file>

<file path=xl/sharedStrings.xml><?xml version="1.0" encoding="utf-8"?>
<sst xmlns="http://schemas.openxmlformats.org/spreadsheetml/2006/main" count="99" uniqueCount="37">
  <si>
    <t>Наименование муниципального образования</t>
  </si>
  <si>
    <t>Численность населения на 01.01.2025  тыс. чел.</t>
  </si>
  <si>
    <t>Дотации из краевого бюджета</t>
  </si>
  <si>
    <t>отрицательные трансферты</t>
  </si>
  <si>
    <t xml:space="preserve">Налоговый потенциал 2026 г. С учетом дотации и отрицательного трансферта
</t>
  </si>
  <si>
    <t>Налоговый потенциал на 1 жителя</t>
  </si>
  <si>
    <t xml:space="preserve">Индекс налогового потенциала 
</t>
  </si>
  <si>
    <t xml:space="preserve">ИБР </t>
  </si>
  <si>
    <t xml:space="preserve">Бюджетная обеспеченность (БО) 
</t>
  </si>
  <si>
    <t>Распределение ФФП до максимально возможного уровня выравнивания</t>
  </si>
  <si>
    <t xml:space="preserve">Отклонение БО 
</t>
  </si>
  <si>
    <t>Объем необходимых средств</t>
  </si>
  <si>
    <t>Объем необходимых средств (положит показатель)</t>
  </si>
  <si>
    <t xml:space="preserve">Сумма дотации  </t>
  </si>
  <si>
    <t xml:space="preserve">БО после  выравн </t>
  </si>
  <si>
    <t>Новокубанское городское поселение</t>
  </si>
  <si>
    <t>Бесскорбненское сельское поселение</t>
  </si>
  <si>
    <t>Верхнекубанское сельское поселение</t>
  </si>
  <si>
    <t>Ковалевское сельское поселение</t>
  </si>
  <si>
    <t>Ляпинское сельское поселение</t>
  </si>
  <si>
    <t>Новосельское сельское поселение</t>
  </si>
  <si>
    <t>Прикубанское сельское поселение</t>
  </si>
  <si>
    <t>Прочноокопское сельское поселение</t>
  </si>
  <si>
    <t>Советское сельское поселение</t>
  </si>
  <si>
    <t>Всего:</t>
  </si>
  <si>
    <t>Контрольные цифры</t>
  </si>
  <si>
    <t>ФФПП=</t>
  </si>
  <si>
    <t>Критерий выравнивания</t>
  </si>
  <si>
    <t>№ п/п</t>
  </si>
  <si>
    <t>Расчет дотаций на выравнивание бюджетной обеспеченности бюджетов поселений на 2026 год</t>
  </si>
  <si>
    <t xml:space="preserve">Налоговый потенциал 2026 г.
</t>
  </si>
  <si>
    <t xml:space="preserve">Налоговый потенциал 2027 г.
</t>
  </si>
  <si>
    <t xml:space="preserve">Налоговый потенциал 2027 г. С учетом дотации и отрицательного трансферта
</t>
  </si>
  <si>
    <t>Расчет дотаций на выравнивание бюджетной обеспеченности бюджетов поселений на 2027 год</t>
  </si>
  <si>
    <t>Исполняющий обязанности начальника финансового управления администрации муниципального образования Новокубанский район</t>
  </si>
  <si>
    <t>С.В.Артемьева</t>
  </si>
  <si>
    <t>Расчет дотаций на выравнивание бюджетной обеспеченности бюджетов поселений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</si>
</sst>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#,##0.0_ ;[Red]\-#,##0.0\ "/>
    <numFmt numFmtId="166" formatCode="#,##0.00_ ;[Red]\-#,##0.00\ "/>
    <numFmt numFmtId="167" formatCode="0.000_ ;[Red]\-0.000\ "/>
    <numFmt numFmtId="168" formatCode="#,##0.0000000000_ ;[Red]\-#,##0.0000000000\ "/>
    <numFmt numFmtId="169" formatCode="#,##0.000"/>
    <numFmt numFmtId="170" formatCode="#,##0.000_ ;[Red]\-#,##0.000\ "/>
    <numFmt numFmtId="171" formatCode="#,##0.0000000000000_ ;[Red]\-#,##0.0000000000000\ "/>
  </numFmts>
  <fonts count="20" x14ac:knownFonts="1"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168" fontId="10" fillId="3" borderId="0" xfId="0" applyNumberFormat="1" applyFont="1" applyFill="1"/>
    <xf numFmtId="1" fontId="4" fillId="0" borderId="1" xfId="0" applyNumberFormat="1" applyFont="1" applyBorder="1" applyAlignment="1">
      <alignment vertical="top" wrapText="1"/>
    </xf>
    <xf numFmtId="169" fontId="5" fillId="0" borderId="1" xfId="0" applyNumberFormat="1" applyFont="1" applyBorder="1" applyAlignment="1">
      <alignment horizontal="right" vertical="top"/>
    </xf>
    <xf numFmtId="165" fontId="5" fillId="0" borderId="1" xfId="0" applyNumberFormat="1" applyFont="1" applyBorder="1" applyAlignment="1">
      <alignment horizontal="right" vertical="top"/>
    </xf>
    <xf numFmtId="166" fontId="5" fillId="0" borderId="1" xfId="0" applyNumberFormat="1" applyFont="1" applyBorder="1" applyAlignment="1">
      <alignment horizontal="right" vertical="top"/>
    </xf>
    <xf numFmtId="165" fontId="6" fillId="0" borderId="1" xfId="0" applyNumberFormat="1" applyFont="1" applyBorder="1" applyAlignment="1">
      <alignment horizontal="right" vertical="top"/>
    </xf>
    <xf numFmtId="4" fontId="6" fillId="0" borderId="1" xfId="0" applyNumberFormat="1" applyFont="1" applyBorder="1" applyAlignment="1">
      <alignment horizontal="right" vertical="top"/>
    </xf>
    <xf numFmtId="170" fontId="6" fillId="0" borderId="1" xfId="0" applyNumberFormat="1" applyFont="1" applyBorder="1" applyAlignment="1">
      <alignment horizontal="right" vertical="top"/>
    </xf>
    <xf numFmtId="165" fontId="7" fillId="0" borderId="1" xfId="0" applyNumberFormat="1" applyFont="1" applyBorder="1" applyAlignment="1">
      <alignment horizontal="right" vertical="top"/>
    </xf>
    <xf numFmtId="166" fontId="6" fillId="0" borderId="1" xfId="0" applyNumberFormat="1" applyFont="1" applyBorder="1" applyAlignment="1">
      <alignment horizontal="right" vertical="top"/>
    </xf>
    <xf numFmtId="1" fontId="1" fillId="0" borderId="1" xfId="0" applyNumberFormat="1" applyFont="1" applyBorder="1" applyAlignment="1">
      <alignment vertical="top"/>
    </xf>
    <xf numFmtId="1" fontId="8" fillId="2" borderId="1" xfId="0" applyNumberFormat="1" applyFont="1" applyFill="1" applyBorder="1" applyAlignment="1">
      <alignment vertical="top"/>
    </xf>
    <xf numFmtId="170" fontId="9" fillId="0" borderId="1" xfId="0" applyNumberFormat="1" applyFont="1" applyBorder="1" applyAlignment="1">
      <alignment horizontal="right" vertical="top"/>
    </xf>
    <xf numFmtId="165" fontId="9" fillId="0" borderId="1" xfId="0" applyNumberFormat="1" applyFont="1" applyBorder="1" applyAlignment="1">
      <alignment horizontal="right" vertical="top"/>
    </xf>
    <xf numFmtId="166" fontId="9" fillId="0" borderId="1" xfId="0" applyNumberFormat="1" applyFont="1" applyBorder="1" applyAlignment="1">
      <alignment horizontal="right" vertical="top"/>
    </xf>
    <xf numFmtId="4" fontId="7" fillId="0" borderId="1" xfId="0" applyNumberFormat="1" applyFont="1" applyBorder="1" applyAlignment="1">
      <alignment horizontal="right" vertical="top"/>
    </xf>
    <xf numFmtId="170" fontId="7" fillId="0" borderId="1" xfId="0" applyNumberFormat="1" applyFont="1" applyBorder="1" applyAlignment="1">
      <alignment horizontal="right" vertical="top"/>
    </xf>
    <xf numFmtId="1" fontId="3" fillId="2" borderId="1" xfId="0" applyNumberFormat="1" applyFont="1" applyFill="1" applyBorder="1" applyAlignment="1">
      <alignment vertical="top"/>
    </xf>
    <xf numFmtId="1" fontId="1" fillId="3" borderId="0" xfId="0" applyNumberFormat="1" applyFont="1" applyFill="1" applyAlignment="1">
      <alignment vertical="top" wrapText="1"/>
    </xf>
    <xf numFmtId="164" fontId="1" fillId="3" borderId="0" xfId="0" applyNumberFormat="1" applyFont="1" applyFill="1" applyAlignment="1">
      <alignment vertical="top"/>
    </xf>
    <xf numFmtId="164" fontId="1" fillId="3" borderId="0" xfId="0" applyNumberFormat="1" applyFont="1" applyFill="1" applyAlignment="1">
      <alignment horizontal="right" vertical="top"/>
    </xf>
    <xf numFmtId="166" fontId="1" fillId="3" borderId="0" xfId="0" applyNumberFormat="1" applyFont="1" applyFill="1" applyAlignment="1">
      <alignment vertical="top"/>
    </xf>
    <xf numFmtId="171" fontId="1" fillId="3" borderId="0" xfId="0" applyNumberFormat="1" applyFont="1" applyFill="1" applyAlignment="1">
      <alignment vertical="top"/>
    </xf>
    <xf numFmtId="167" fontId="1" fillId="3" borderId="0" xfId="0" applyNumberFormat="1" applyFont="1" applyFill="1" applyAlignment="1">
      <alignment vertical="top"/>
    </xf>
    <xf numFmtId="165" fontId="1" fillId="3" borderId="0" xfId="0" applyNumberFormat="1" applyFont="1" applyFill="1" applyAlignment="1">
      <alignment vertical="top"/>
    </xf>
    <xf numFmtId="4" fontId="1" fillId="3" borderId="0" xfId="0" applyNumberFormat="1" applyFont="1" applyFill="1" applyAlignment="1">
      <alignment vertical="top"/>
    </xf>
    <xf numFmtId="1" fontId="11" fillId="2" borderId="0" xfId="0" applyNumberFormat="1" applyFont="1" applyFill="1" applyAlignment="1">
      <alignment vertical="top"/>
    </xf>
    <xf numFmtId="1" fontId="1" fillId="2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vertical="top" wrapText="1"/>
    </xf>
    <xf numFmtId="169" fontId="5" fillId="0" borderId="1" xfId="0" applyNumberFormat="1" applyFont="1" applyFill="1" applyBorder="1" applyAlignment="1">
      <alignment horizontal="right" vertical="top"/>
    </xf>
    <xf numFmtId="165" fontId="5" fillId="0" borderId="1" xfId="0" applyNumberFormat="1" applyFont="1" applyFill="1" applyBorder="1" applyAlignment="1">
      <alignment horizontal="right" vertical="top"/>
    </xf>
    <xf numFmtId="166" fontId="5" fillId="0" borderId="1" xfId="0" applyNumberFormat="1" applyFont="1" applyFill="1" applyBorder="1" applyAlignment="1">
      <alignment horizontal="right" vertical="top"/>
    </xf>
    <xf numFmtId="165" fontId="6" fillId="0" borderId="1" xfId="0" applyNumberFormat="1" applyFont="1" applyFill="1" applyBorder="1" applyAlignment="1">
      <alignment horizontal="right" vertical="top"/>
    </xf>
    <xf numFmtId="4" fontId="6" fillId="0" borderId="1" xfId="0" applyNumberFormat="1" applyFont="1" applyFill="1" applyBorder="1" applyAlignment="1">
      <alignment horizontal="right" vertical="top"/>
    </xf>
    <xf numFmtId="170" fontId="6" fillId="0" borderId="1" xfId="0" applyNumberFormat="1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6" fontId="6" fillId="0" borderId="1" xfId="0" applyNumberFormat="1" applyFont="1" applyFill="1" applyBorder="1" applyAlignment="1">
      <alignment horizontal="right" vertical="top"/>
    </xf>
    <xf numFmtId="170" fontId="9" fillId="3" borderId="1" xfId="0" applyNumberFormat="1" applyFont="1" applyFill="1" applyBorder="1" applyAlignment="1">
      <alignment horizontal="right" vertical="top"/>
    </xf>
    <xf numFmtId="1" fontId="3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68" fontId="15" fillId="0" borderId="0" xfId="0" applyNumberFormat="1" applyFont="1"/>
    <xf numFmtId="4" fontId="0" fillId="0" borderId="0" xfId="0" applyNumberFormat="1"/>
    <xf numFmtId="164" fontId="7" fillId="0" borderId="1" xfId="0" applyNumberFormat="1" applyFont="1" applyFill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165" fontId="9" fillId="3" borderId="1" xfId="0" applyNumberFormat="1" applyFont="1" applyFill="1" applyBorder="1" applyAlignment="1">
      <alignment horizontal="right" vertical="top"/>
    </xf>
    <xf numFmtId="1" fontId="16" fillId="2" borderId="0" xfId="0" applyNumberFormat="1" applyFont="1" applyFill="1" applyAlignment="1">
      <alignment vertical="top"/>
    </xf>
    <xf numFmtId="1" fontId="16" fillId="3" borderId="0" xfId="0" applyNumberFormat="1" applyFont="1" applyFill="1" applyAlignment="1">
      <alignment vertical="top"/>
    </xf>
    <xf numFmtId="164" fontId="16" fillId="3" borderId="0" xfId="0" applyNumberFormat="1" applyFont="1" applyFill="1" applyAlignment="1">
      <alignment vertical="top"/>
    </xf>
    <xf numFmtId="164" fontId="16" fillId="3" borderId="0" xfId="0" applyNumberFormat="1" applyFont="1" applyFill="1" applyAlignment="1">
      <alignment horizontal="left" vertical="top" wrapText="1"/>
    </xf>
    <xf numFmtId="170" fontId="16" fillId="3" borderId="0" xfId="0" applyNumberFormat="1" applyFont="1" applyFill="1" applyAlignment="1">
      <alignment vertical="top"/>
    </xf>
    <xf numFmtId="168" fontId="16" fillId="3" borderId="0" xfId="0" applyNumberFormat="1" applyFont="1" applyFill="1" applyAlignment="1">
      <alignment vertical="top"/>
    </xf>
    <xf numFmtId="165" fontId="16" fillId="3" borderId="0" xfId="0" applyNumberFormat="1" applyFont="1" applyFill="1" applyAlignment="1">
      <alignment vertical="top"/>
    </xf>
    <xf numFmtId="4" fontId="16" fillId="3" borderId="0" xfId="0" applyNumberFormat="1" applyFont="1" applyFill="1" applyAlignment="1">
      <alignment vertical="top"/>
    </xf>
    <xf numFmtId="0" fontId="17" fillId="0" borderId="0" xfId="0" applyFont="1"/>
    <xf numFmtId="1" fontId="16" fillId="3" borderId="0" xfId="0" applyNumberFormat="1" applyFont="1" applyFill="1" applyAlignment="1">
      <alignment vertical="top" wrapText="1"/>
    </xf>
    <xf numFmtId="164" fontId="16" fillId="3" borderId="0" xfId="0" applyNumberFormat="1" applyFont="1" applyFill="1" applyAlignment="1">
      <alignment horizontal="right" vertical="top"/>
    </xf>
    <xf numFmtId="166" fontId="16" fillId="3" borderId="0" xfId="0" applyNumberFormat="1" applyFont="1" applyFill="1" applyAlignment="1">
      <alignment vertical="top"/>
    </xf>
    <xf numFmtId="171" fontId="16" fillId="3" borderId="0" xfId="0" applyNumberFormat="1" applyFont="1" applyFill="1" applyAlignment="1">
      <alignment vertical="top"/>
    </xf>
    <xf numFmtId="167" fontId="16" fillId="3" borderId="0" xfId="0" applyNumberFormat="1" applyFont="1" applyFill="1" applyAlignment="1">
      <alignment vertical="top"/>
    </xf>
    <xf numFmtId="0" fontId="18" fillId="0" borderId="0" xfId="0" applyFont="1"/>
    <xf numFmtId="1" fontId="16" fillId="0" borderId="0" xfId="0" applyNumberFormat="1" applyFont="1" applyFill="1" applyAlignment="1">
      <alignment vertical="top"/>
    </xf>
    <xf numFmtId="164" fontId="16" fillId="0" borderId="0" xfId="0" applyNumberFormat="1" applyFont="1" applyFill="1" applyAlignment="1">
      <alignment vertical="top"/>
    </xf>
    <xf numFmtId="164" fontId="16" fillId="0" borderId="0" xfId="0" applyNumberFormat="1" applyFont="1" applyFill="1" applyAlignment="1">
      <alignment horizontal="left" vertical="top" wrapText="1"/>
    </xf>
    <xf numFmtId="170" fontId="16" fillId="0" borderId="0" xfId="0" applyNumberFormat="1" applyFont="1" applyFill="1" applyAlignment="1">
      <alignment vertical="top"/>
    </xf>
    <xf numFmtId="165" fontId="16" fillId="0" borderId="0" xfId="0" applyNumberFormat="1" applyFont="1" applyFill="1" applyAlignment="1">
      <alignment vertical="top"/>
    </xf>
    <xf numFmtId="4" fontId="16" fillId="0" borderId="0" xfId="0" applyNumberFormat="1" applyFont="1" applyFill="1" applyAlignment="1">
      <alignment vertical="top"/>
    </xf>
    <xf numFmtId="0" fontId="17" fillId="0" borderId="0" xfId="0" applyFont="1" applyFill="1"/>
    <xf numFmtId="0" fontId="6" fillId="0" borderId="0" xfId="0" applyFont="1" applyFill="1"/>
    <xf numFmtId="1" fontId="1" fillId="0" borderId="1" xfId="0" applyNumberFormat="1" applyFont="1" applyFill="1" applyBorder="1" applyAlignment="1">
      <alignment vertical="top"/>
    </xf>
    <xf numFmtId="1" fontId="1" fillId="0" borderId="1" xfId="0" applyNumberFormat="1" applyFont="1" applyFill="1" applyBorder="1" applyAlignment="1">
      <alignment vertical="top" wrapText="1"/>
    </xf>
    <xf numFmtId="169" fontId="6" fillId="0" borderId="1" xfId="0" applyNumberFormat="1" applyFont="1" applyFill="1" applyBorder="1" applyAlignment="1">
      <alignment horizontal="right" vertical="top"/>
    </xf>
    <xf numFmtId="1" fontId="3" fillId="0" borderId="1" xfId="0" applyNumberFormat="1" applyFont="1" applyFill="1" applyBorder="1" applyAlignment="1">
      <alignment vertical="top"/>
    </xf>
    <xf numFmtId="170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4" fontId="7" fillId="0" borderId="1" xfId="0" applyNumberFormat="1" applyFont="1" applyFill="1" applyBorder="1" applyAlignment="1">
      <alignment horizontal="right" vertical="top"/>
    </xf>
    <xf numFmtId="0" fontId="18" fillId="0" borderId="0" xfId="0" applyFont="1" applyAlignment="1">
      <alignment horizontal="center" wrapText="1"/>
    </xf>
    <xf numFmtId="0" fontId="14" fillId="2" borderId="0" xfId="0" applyFont="1" applyFill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top" textRotation="90"/>
    </xf>
    <xf numFmtId="1" fontId="1" fillId="0" borderId="1" xfId="0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/>
    </xf>
    <xf numFmtId="1" fontId="1" fillId="0" borderId="3" xfId="0" applyNumberFormat="1" applyFont="1" applyFill="1" applyBorder="1" applyAlignment="1">
      <alignment horizontal="center" vertical="top"/>
    </xf>
    <xf numFmtId="1" fontId="1" fillId="0" borderId="4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4" fontId="16" fillId="3" borderId="0" xfId="0" applyNumberFormat="1" applyFont="1" applyFill="1" applyAlignment="1">
      <alignment horizontal="right" vertical="top"/>
    </xf>
    <xf numFmtId="166" fontId="1" fillId="0" borderId="1" xfId="0" applyNumberFormat="1" applyFont="1" applyFill="1" applyBorder="1" applyAlignment="1">
      <alignment horizontal="center" vertical="top" wrapText="1"/>
    </xf>
    <xf numFmtId="167" fontId="1" fillId="0" borderId="1" xfId="0" applyNumberFormat="1" applyFont="1" applyFill="1" applyBorder="1" applyAlignment="1">
      <alignment horizontal="center" vertical="top" wrapText="1"/>
    </xf>
    <xf numFmtId="164" fontId="16" fillId="0" borderId="0" xfId="0" applyNumberFormat="1" applyFont="1" applyFill="1" applyAlignment="1">
      <alignment horizontal="right" vertical="top"/>
    </xf>
    <xf numFmtId="168" fontId="19" fillId="0" borderId="0" xfId="0" applyNumberFormat="1" applyFont="1" applyFill="1" applyAlignment="1">
      <alignment vertical="top"/>
    </xf>
  </cellXfs>
  <cellStyles count="2">
    <cellStyle name="Обычный" xfId="0" builtinId="0"/>
    <cellStyle name="Обычный_Доходы отдельно" xfId="1" xr:uid="{515E4FC0-692D-4793-85E3-63DAB213F0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1B8D1-C934-43B9-8151-20B3C3B7015B}">
  <dimension ref="A1:T21"/>
  <sheetViews>
    <sheetView view="pageBreakPreview" zoomScale="60" zoomScaleNormal="70" workbookViewId="0">
      <selection activeCell="E7" sqref="E7:E14"/>
    </sheetView>
  </sheetViews>
  <sheetFormatPr defaultRowHeight="15.75" x14ac:dyDescent="0.25"/>
  <cols>
    <col min="1" max="1" width="3.5" customWidth="1"/>
    <col min="2" max="2" width="21.375" customWidth="1"/>
    <col min="3" max="3" width="9.875" customWidth="1"/>
    <col min="4" max="7" width="11.25" customWidth="1"/>
    <col min="8" max="11" width="9.875" customWidth="1"/>
    <col min="12" max="12" width="11.875" customWidth="1"/>
    <col min="13" max="13" width="9.875" customWidth="1"/>
    <col min="14" max="14" width="12.375" customWidth="1"/>
    <col min="15" max="15" width="11.625" customWidth="1"/>
    <col min="16" max="17" width="9.875" customWidth="1"/>
  </cols>
  <sheetData>
    <row r="1" spans="1:20" ht="18.75" x14ac:dyDescent="0.25">
      <c r="C1" s="79" t="s">
        <v>29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</row>
    <row r="2" spans="1:20" x14ac:dyDescent="0.25">
      <c r="A2" s="80" t="s">
        <v>28</v>
      </c>
      <c r="B2" s="81" t="s">
        <v>0</v>
      </c>
      <c r="C2" s="82" t="s">
        <v>1</v>
      </c>
      <c r="D2" s="83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5"/>
    </row>
    <row r="3" spans="1:20" x14ac:dyDescent="0.25">
      <c r="A3" s="80"/>
      <c r="B3" s="81"/>
      <c r="C3" s="82"/>
      <c r="D3" s="81" t="s">
        <v>30</v>
      </c>
      <c r="E3" s="81" t="s">
        <v>2</v>
      </c>
      <c r="F3" s="81" t="s">
        <v>3</v>
      </c>
      <c r="G3" s="81" t="s">
        <v>4</v>
      </c>
      <c r="H3" s="81" t="s">
        <v>5</v>
      </c>
      <c r="I3" s="81" t="s">
        <v>6</v>
      </c>
      <c r="J3" s="81" t="s">
        <v>7</v>
      </c>
      <c r="K3" s="90" t="s">
        <v>8</v>
      </c>
      <c r="L3" s="88" t="s">
        <v>9</v>
      </c>
      <c r="M3" s="91" t="s">
        <v>10</v>
      </c>
      <c r="N3" s="88" t="s">
        <v>11</v>
      </c>
      <c r="O3" s="88" t="s">
        <v>12</v>
      </c>
      <c r="P3" s="86" t="s">
        <v>13</v>
      </c>
      <c r="Q3" s="87" t="s">
        <v>14</v>
      </c>
    </row>
    <row r="4" spans="1:20" ht="88.5" customHeight="1" x14ac:dyDescent="0.25">
      <c r="A4" s="80"/>
      <c r="B4" s="81"/>
      <c r="C4" s="82"/>
      <c r="D4" s="81"/>
      <c r="E4" s="81"/>
      <c r="F4" s="81"/>
      <c r="G4" s="81"/>
      <c r="H4" s="81"/>
      <c r="I4" s="81"/>
      <c r="J4" s="81"/>
      <c r="K4" s="90"/>
      <c r="L4" s="88"/>
      <c r="M4" s="91"/>
      <c r="N4" s="88"/>
      <c r="O4" s="88"/>
      <c r="P4" s="86"/>
      <c r="Q4" s="87"/>
    </row>
    <row r="5" spans="1:20" x14ac:dyDescent="0.25">
      <c r="A5" s="28">
        <v>1</v>
      </c>
      <c r="B5" s="29">
        <v>1</v>
      </c>
      <c r="C5" s="29">
        <f t="shared" ref="C5:Q5" si="0">B5+1</f>
        <v>2</v>
      </c>
      <c r="D5" s="29">
        <f t="shared" si="0"/>
        <v>3</v>
      </c>
      <c r="E5" s="29">
        <f t="shared" si="0"/>
        <v>4</v>
      </c>
      <c r="F5" s="29">
        <f t="shared" si="0"/>
        <v>5</v>
      </c>
      <c r="G5" s="29">
        <f t="shared" si="0"/>
        <v>6</v>
      </c>
      <c r="H5" s="29">
        <f t="shared" si="0"/>
        <v>7</v>
      </c>
      <c r="I5" s="29">
        <f t="shared" si="0"/>
        <v>8</v>
      </c>
      <c r="J5" s="29">
        <f t="shared" si="0"/>
        <v>9</v>
      </c>
      <c r="K5" s="29">
        <f t="shared" si="0"/>
        <v>10</v>
      </c>
      <c r="L5" s="29">
        <f t="shared" si="0"/>
        <v>11</v>
      </c>
      <c r="M5" s="29">
        <f t="shared" si="0"/>
        <v>12</v>
      </c>
      <c r="N5" s="29">
        <f t="shared" si="0"/>
        <v>13</v>
      </c>
      <c r="O5" s="29">
        <f t="shared" si="0"/>
        <v>14</v>
      </c>
      <c r="P5" s="30">
        <f t="shared" si="0"/>
        <v>15</v>
      </c>
      <c r="Q5" s="29">
        <f t="shared" si="0"/>
        <v>16</v>
      </c>
    </row>
    <row r="6" spans="1:20" ht="25.5" x14ac:dyDescent="0.25">
      <c r="A6" s="11">
        <v>1</v>
      </c>
      <c r="B6" s="31" t="s">
        <v>15</v>
      </c>
      <c r="C6" s="32">
        <v>33.048000000000002</v>
      </c>
      <c r="D6" s="33">
        <v>195109.8</v>
      </c>
      <c r="E6" s="33">
        <v>41308.5</v>
      </c>
      <c r="F6" s="34"/>
      <c r="G6" s="35">
        <f>+D6+E6-F6</f>
        <v>236418.3</v>
      </c>
      <c r="H6" s="35">
        <f>ROUND(G6/C6,1)</f>
        <v>7153.8</v>
      </c>
      <c r="I6" s="36">
        <f>ROUND(H6/$H$15,2)</f>
        <v>1.0900000000000001</v>
      </c>
      <c r="J6" s="36">
        <v>0.82</v>
      </c>
      <c r="K6" s="36">
        <f>ROUND(I6/J6,2)</f>
        <v>1.33</v>
      </c>
      <c r="L6" s="35">
        <f>ROUND(IF($L$16-K6&gt;0,($H$15*C6*($L$16-K6)*J6),0),1)</f>
        <v>0</v>
      </c>
      <c r="M6" s="37">
        <f t="shared" ref="M6:M14" si="1">$K$16-K6</f>
        <v>-0.70787629879000002</v>
      </c>
      <c r="N6" s="35">
        <f t="shared" ref="N6:N14" si="2">ROUND($H$15*M6*C6*J6,1)</f>
        <v>-125805.9</v>
      </c>
      <c r="O6" s="35">
        <f>IF(N6&gt;0,N6,0)</f>
        <v>0</v>
      </c>
      <c r="P6" s="38">
        <f>ROUND($O$16*(O6/$O$15),1)</f>
        <v>0</v>
      </c>
      <c r="Q6" s="39">
        <f>ROUND(K6+P6/(C6*$H$15*J6),2)</f>
        <v>1.33</v>
      </c>
      <c r="T6" s="44"/>
    </row>
    <row r="7" spans="1:20" ht="25.5" x14ac:dyDescent="0.25">
      <c r="A7" s="11">
        <v>2</v>
      </c>
      <c r="B7" s="2" t="s">
        <v>16</v>
      </c>
      <c r="C7" s="3">
        <v>5.508</v>
      </c>
      <c r="D7" s="4">
        <v>30669.4</v>
      </c>
      <c r="E7" s="4">
        <v>5269.3</v>
      </c>
      <c r="F7" s="5"/>
      <c r="G7" s="6">
        <f t="shared" ref="G7:G14" si="3">+D7+E7-F7</f>
        <v>35938.700000000004</v>
      </c>
      <c r="H7" s="6">
        <f t="shared" ref="H7:H14" si="4">ROUND(G7/C7,1)</f>
        <v>6524.8</v>
      </c>
      <c r="I7" s="7">
        <f t="shared" ref="I7:I14" si="5">ROUND(H7/$H$15,2)</f>
        <v>0.99</v>
      </c>
      <c r="J7" s="7">
        <v>1.24</v>
      </c>
      <c r="K7" s="7">
        <f t="shared" ref="K7:K14" si="6">ROUND(I7/J7,2)</f>
        <v>0.8</v>
      </c>
      <c r="L7" s="35">
        <f t="shared" ref="L7:L14" si="7">ROUND(IF($L$16-K7&gt;0,($H$15*C7*($L$16-K7)*J7),0),1)</f>
        <v>0</v>
      </c>
      <c r="M7" s="8">
        <f t="shared" si="1"/>
        <v>-0.17787629879</v>
      </c>
      <c r="N7" s="6">
        <f t="shared" si="2"/>
        <v>-7967.4</v>
      </c>
      <c r="O7" s="6">
        <f>IF(N7&gt;0,N7,0)</f>
        <v>0</v>
      </c>
      <c r="P7" s="9">
        <f t="shared" ref="P7:P13" si="8">ROUND($O$16*(O7/$O$15),1)</f>
        <v>0</v>
      </c>
      <c r="Q7" s="10">
        <f t="shared" ref="Q7:Q15" si="9">ROUND(K7+P7/(C7*$H$15*J7),2)</f>
        <v>0.8</v>
      </c>
      <c r="T7" s="44"/>
    </row>
    <row r="8" spans="1:20" ht="25.5" x14ac:dyDescent="0.25">
      <c r="A8" s="11">
        <v>3</v>
      </c>
      <c r="B8" s="2" t="s">
        <v>17</v>
      </c>
      <c r="C8" s="3">
        <v>4.968</v>
      </c>
      <c r="D8" s="4">
        <v>35069.1</v>
      </c>
      <c r="E8" s="4">
        <v>2900.5</v>
      </c>
      <c r="F8" s="5"/>
      <c r="G8" s="6">
        <f t="shared" si="3"/>
        <v>37969.599999999999</v>
      </c>
      <c r="H8" s="6">
        <f t="shared" si="4"/>
        <v>7642.8</v>
      </c>
      <c r="I8" s="7">
        <f t="shared" si="5"/>
        <v>1.17</v>
      </c>
      <c r="J8" s="7">
        <v>2.17</v>
      </c>
      <c r="K8" s="7">
        <f>ROUND(I8/J8,2)</f>
        <v>0.54</v>
      </c>
      <c r="L8" s="35">
        <f t="shared" si="7"/>
        <v>1807.6</v>
      </c>
      <c r="M8" s="8">
        <f t="shared" si="1"/>
        <v>8.2123701210000011E-2</v>
      </c>
      <c r="N8" s="6">
        <f t="shared" si="2"/>
        <v>5806.2</v>
      </c>
      <c r="O8" s="6">
        <f>IF(N8&gt;0,N8,0)</f>
        <v>5806.2</v>
      </c>
      <c r="P8" s="9">
        <f t="shared" si="8"/>
        <v>2689.6</v>
      </c>
      <c r="Q8" s="10">
        <f t="shared" si="9"/>
        <v>0.57999999999999996</v>
      </c>
      <c r="T8" s="44"/>
    </row>
    <row r="9" spans="1:20" ht="25.5" x14ac:dyDescent="0.25">
      <c r="A9" s="11">
        <v>4</v>
      </c>
      <c r="B9" s="2" t="s">
        <v>18</v>
      </c>
      <c r="C9" s="3">
        <v>9.4700000000000006</v>
      </c>
      <c r="D9" s="4">
        <v>44665.299999999996</v>
      </c>
      <c r="E9" s="4">
        <v>10042.6</v>
      </c>
      <c r="F9" s="5"/>
      <c r="G9" s="6">
        <f t="shared" si="3"/>
        <v>54707.899999999994</v>
      </c>
      <c r="H9" s="6">
        <f t="shared" si="4"/>
        <v>5777</v>
      </c>
      <c r="I9" s="7">
        <f t="shared" si="5"/>
        <v>0.88</v>
      </c>
      <c r="J9" s="7">
        <v>1.39</v>
      </c>
      <c r="K9" s="7">
        <f t="shared" si="6"/>
        <v>0.63</v>
      </c>
      <c r="L9" s="35">
        <f t="shared" si="7"/>
        <v>0</v>
      </c>
      <c r="M9" s="8">
        <f>$K$16-K9</f>
        <v>-7.8762987899999581E-3</v>
      </c>
      <c r="N9" s="6">
        <f t="shared" si="2"/>
        <v>-679.9</v>
      </c>
      <c r="O9" s="6">
        <f t="shared" ref="O9:O14" si="10">IF(N9&gt;0,N9,0)</f>
        <v>0</v>
      </c>
      <c r="P9" s="9">
        <f t="shared" si="8"/>
        <v>0</v>
      </c>
      <c r="Q9" s="10">
        <f t="shared" si="9"/>
        <v>0.63</v>
      </c>
      <c r="T9" s="44"/>
    </row>
    <row r="10" spans="1:20" ht="25.5" x14ac:dyDescent="0.25">
      <c r="A10" s="11">
        <v>5</v>
      </c>
      <c r="B10" s="2" t="s">
        <v>19</v>
      </c>
      <c r="C10" s="3">
        <v>1.839</v>
      </c>
      <c r="D10" s="4">
        <v>12584.9</v>
      </c>
      <c r="E10" s="4">
        <v>871.2</v>
      </c>
      <c r="F10" s="5"/>
      <c r="G10" s="6">
        <f t="shared" si="3"/>
        <v>13456.1</v>
      </c>
      <c r="H10" s="6">
        <f t="shared" si="4"/>
        <v>7317.1</v>
      </c>
      <c r="I10" s="7">
        <f>ROUND(H10/$H$15,2)</f>
        <v>1.1200000000000001</v>
      </c>
      <c r="J10" s="7">
        <v>2.06</v>
      </c>
      <c r="K10" s="7">
        <f t="shared" si="6"/>
        <v>0.54</v>
      </c>
      <c r="L10" s="35">
        <f t="shared" si="7"/>
        <v>635.20000000000005</v>
      </c>
      <c r="M10" s="8">
        <f t="shared" si="1"/>
        <v>8.2123701210000011E-2</v>
      </c>
      <c r="N10" s="6">
        <f>ROUND($H$15*M10*C10*J10,1)</f>
        <v>2040.3</v>
      </c>
      <c r="O10" s="6">
        <f t="shared" si="10"/>
        <v>2040.3</v>
      </c>
      <c r="P10" s="9">
        <f t="shared" si="8"/>
        <v>945.1</v>
      </c>
      <c r="Q10" s="10">
        <f t="shared" si="9"/>
        <v>0.57999999999999996</v>
      </c>
      <c r="T10" s="44"/>
    </row>
    <row r="11" spans="1:20" ht="25.5" x14ac:dyDescent="0.25">
      <c r="A11" s="11">
        <v>6</v>
      </c>
      <c r="B11" s="2" t="s">
        <v>20</v>
      </c>
      <c r="C11" s="3">
        <v>4.8259999999999996</v>
      </c>
      <c r="D11" s="4">
        <v>21444.799999999999</v>
      </c>
      <c r="E11" s="4">
        <v>4797.8</v>
      </c>
      <c r="F11" s="5"/>
      <c r="G11" s="6">
        <f t="shared" si="3"/>
        <v>26242.6</v>
      </c>
      <c r="H11" s="6">
        <f t="shared" si="4"/>
        <v>5437.8</v>
      </c>
      <c r="I11" s="7">
        <f t="shared" si="5"/>
        <v>0.83</v>
      </c>
      <c r="J11" s="7">
        <v>1.85</v>
      </c>
      <c r="K11" s="7">
        <f>ROUND(I11/J11,2)</f>
        <v>0.45</v>
      </c>
      <c r="L11" s="35">
        <f t="shared" si="7"/>
        <v>6766.7</v>
      </c>
      <c r="M11" s="8">
        <f t="shared" si="1"/>
        <v>0.17212370121000004</v>
      </c>
      <c r="N11" s="6">
        <f t="shared" si="2"/>
        <v>10078.200000000001</v>
      </c>
      <c r="O11" s="6">
        <f t="shared" si="10"/>
        <v>10078.200000000001</v>
      </c>
      <c r="P11" s="9">
        <f t="shared" si="8"/>
        <v>4668.6000000000004</v>
      </c>
      <c r="Q11" s="10">
        <f t="shared" si="9"/>
        <v>0.53</v>
      </c>
      <c r="T11" s="44"/>
    </row>
    <row r="12" spans="1:20" ht="25.5" x14ac:dyDescent="0.25">
      <c r="A12" s="11">
        <v>7</v>
      </c>
      <c r="B12" s="2" t="s">
        <v>21</v>
      </c>
      <c r="C12" s="3">
        <v>4.6929999999999996</v>
      </c>
      <c r="D12" s="4">
        <v>17013.8</v>
      </c>
      <c r="E12" s="4">
        <v>11098.5</v>
      </c>
      <c r="F12" s="5"/>
      <c r="G12" s="6">
        <f t="shared" si="3"/>
        <v>28112.3</v>
      </c>
      <c r="H12" s="6">
        <f t="shared" si="4"/>
        <v>5990.3</v>
      </c>
      <c r="I12" s="7">
        <f t="shared" si="5"/>
        <v>0.91</v>
      </c>
      <c r="J12" s="7">
        <v>1.65</v>
      </c>
      <c r="K12" s="7">
        <f t="shared" si="6"/>
        <v>0.55000000000000004</v>
      </c>
      <c r="L12" s="35">
        <f t="shared" si="7"/>
        <v>790.5</v>
      </c>
      <c r="M12" s="8">
        <f t="shared" si="1"/>
        <v>7.2123701210000002E-2</v>
      </c>
      <c r="N12" s="6">
        <f t="shared" si="2"/>
        <v>3662.7</v>
      </c>
      <c r="O12" s="6">
        <f t="shared" si="10"/>
        <v>3662.7</v>
      </c>
      <c r="P12" s="9">
        <f t="shared" si="8"/>
        <v>1696.7</v>
      </c>
      <c r="Q12" s="10">
        <f t="shared" si="9"/>
        <v>0.57999999999999996</v>
      </c>
      <c r="T12" s="44"/>
    </row>
    <row r="13" spans="1:20" ht="25.5" x14ac:dyDescent="0.25">
      <c r="A13" s="11">
        <v>8</v>
      </c>
      <c r="B13" s="2" t="s">
        <v>22</v>
      </c>
      <c r="C13" s="3">
        <v>4.8129999999999997</v>
      </c>
      <c r="D13" s="4">
        <v>24085.600000000002</v>
      </c>
      <c r="E13" s="4">
        <v>6596.1</v>
      </c>
      <c r="F13" s="5"/>
      <c r="G13" s="6">
        <f t="shared" si="3"/>
        <v>30681.700000000004</v>
      </c>
      <c r="H13" s="6">
        <f t="shared" si="4"/>
        <v>6374.8</v>
      </c>
      <c r="I13" s="7">
        <f t="shared" si="5"/>
        <v>0.97</v>
      </c>
      <c r="J13" s="7">
        <v>1.24</v>
      </c>
      <c r="K13" s="7">
        <f t="shared" si="6"/>
        <v>0.78</v>
      </c>
      <c r="L13" s="35">
        <f t="shared" si="7"/>
        <v>0</v>
      </c>
      <c r="M13" s="8">
        <f t="shared" si="1"/>
        <v>-0.15787629878999998</v>
      </c>
      <c r="N13" s="6">
        <f t="shared" si="2"/>
        <v>-6179.3</v>
      </c>
      <c r="O13" s="6">
        <f t="shared" si="10"/>
        <v>0</v>
      </c>
      <c r="P13" s="9">
        <f t="shared" si="8"/>
        <v>0</v>
      </c>
      <c r="Q13" s="10">
        <f t="shared" si="9"/>
        <v>0.78</v>
      </c>
      <c r="T13" s="44"/>
    </row>
    <row r="14" spans="1:20" ht="25.5" x14ac:dyDescent="0.25">
      <c r="A14" s="11">
        <v>9</v>
      </c>
      <c r="B14" s="2" t="s">
        <v>23</v>
      </c>
      <c r="C14" s="3">
        <v>12.569000000000001</v>
      </c>
      <c r="D14" s="4">
        <v>54708.3</v>
      </c>
      <c r="E14" s="4">
        <v>17788.5</v>
      </c>
      <c r="F14" s="5"/>
      <c r="G14" s="6">
        <f t="shared" si="3"/>
        <v>72496.800000000003</v>
      </c>
      <c r="H14" s="6">
        <f t="shared" si="4"/>
        <v>5767.9</v>
      </c>
      <c r="I14" s="7">
        <f t="shared" si="5"/>
        <v>0.88</v>
      </c>
      <c r="J14" s="7">
        <v>1.06</v>
      </c>
      <c r="K14" s="7">
        <f t="shared" si="6"/>
        <v>0.83</v>
      </c>
      <c r="L14" s="35">
        <f t="shared" si="7"/>
        <v>0</v>
      </c>
      <c r="M14" s="8">
        <f t="shared" si="1"/>
        <v>-0.20787629878999991</v>
      </c>
      <c r="N14" s="6">
        <f t="shared" si="2"/>
        <v>-18163.400000000001</v>
      </c>
      <c r="O14" s="6">
        <f t="shared" si="10"/>
        <v>0</v>
      </c>
      <c r="P14" s="9">
        <f>ROUND($O$16*(O14/$O$15),1)</f>
        <v>0</v>
      </c>
      <c r="Q14" s="10">
        <f t="shared" si="9"/>
        <v>0.83</v>
      </c>
      <c r="T14" s="44"/>
    </row>
    <row r="15" spans="1:20" x14ac:dyDescent="0.25">
      <c r="A15" s="18"/>
      <c r="B15" s="12" t="s">
        <v>24</v>
      </c>
      <c r="C15" s="13">
        <f>SUM(C6:C14)</f>
        <v>81.734000000000009</v>
      </c>
      <c r="D15" s="14">
        <f>SUM(D6:D14)</f>
        <v>435350.99999999994</v>
      </c>
      <c r="E15" s="14">
        <f>SUM(E6:E14)</f>
        <v>100673</v>
      </c>
      <c r="F15" s="15">
        <f>SUM(F6:F14)</f>
        <v>0</v>
      </c>
      <c r="G15" s="14">
        <f>SUM(G6:G14)</f>
        <v>536024</v>
      </c>
      <c r="H15" s="9">
        <f>ROUND(G15/C15,1)</f>
        <v>6558.2</v>
      </c>
      <c r="I15" s="15">
        <f>SUM(I6:I14)/9</f>
        <v>0.98222222222222222</v>
      </c>
      <c r="J15" s="15">
        <f>SUM(J6:J14)/9</f>
        <v>1.4977777777777779</v>
      </c>
      <c r="K15" s="16">
        <f>ROUND(I15/J15,2)</f>
        <v>0.66</v>
      </c>
      <c r="L15" s="40">
        <f>SUM(L6:L14)</f>
        <v>10000</v>
      </c>
      <c r="M15" s="17"/>
      <c r="N15" s="15">
        <f>SUM(N6:N14)</f>
        <v>-137208.5</v>
      </c>
      <c r="O15" s="15">
        <f>SUM(O6:O14)</f>
        <v>21587.4</v>
      </c>
      <c r="P15" s="14">
        <f>SUM(P6:P14)</f>
        <v>10000</v>
      </c>
      <c r="Q15" s="10">
        <f t="shared" si="9"/>
        <v>0.67</v>
      </c>
    </row>
    <row r="16" spans="1:20" s="56" customFormat="1" ht="38.25" x14ac:dyDescent="0.25">
      <c r="A16" s="48"/>
      <c r="B16" s="49" t="s">
        <v>25</v>
      </c>
      <c r="C16" s="50"/>
      <c r="D16" s="50"/>
      <c r="E16" s="50"/>
      <c r="F16" s="50"/>
      <c r="G16" s="50"/>
      <c r="H16" s="50" t="s">
        <v>26</v>
      </c>
      <c r="I16" s="50">
        <v>10000</v>
      </c>
      <c r="J16" s="51" t="s">
        <v>27</v>
      </c>
      <c r="K16" s="52">
        <f>L16*1.1</f>
        <v>0.62212370121000005</v>
      </c>
      <c r="L16" s="53">
        <v>0.56556700110000002</v>
      </c>
      <c r="M16" s="89"/>
      <c r="N16" s="89"/>
      <c r="O16" s="54">
        <v>10000</v>
      </c>
      <c r="P16" s="50">
        <f>P15-O16</f>
        <v>0</v>
      </c>
      <c r="Q16" s="55"/>
    </row>
    <row r="17" spans="1:17" x14ac:dyDescent="0.25">
      <c r="A17" s="27"/>
      <c r="B17" s="19"/>
      <c r="C17" s="20"/>
      <c r="D17" s="20"/>
      <c r="E17" s="20"/>
      <c r="F17" s="20"/>
      <c r="G17" s="20"/>
      <c r="H17" s="20"/>
      <c r="I17" s="21"/>
      <c r="J17" s="20"/>
      <c r="K17" s="22"/>
      <c r="L17" s="23"/>
      <c r="M17" s="24"/>
      <c r="N17" s="25"/>
      <c r="O17" s="25"/>
      <c r="P17" s="21"/>
      <c r="Q17" s="26"/>
    </row>
    <row r="19" spans="1:17" x14ac:dyDescent="0.25">
      <c r="L19" s="1"/>
    </row>
    <row r="20" spans="1:17" ht="58.5" customHeight="1" x14ac:dyDescent="0.3">
      <c r="C20" s="78" t="s">
        <v>34</v>
      </c>
      <c r="D20" s="78"/>
      <c r="E20" s="78"/>
      <c r="F20" s="78"/>
      <c r="G20" s="78"/>
      <c r="H20" s="62"/>
      <c r="I20" s="62"/>
      <c r="J20" s="62"/>
      <c r="K20" s="62"/>
      <c r="L20" s="62"/>
      <c r="M20" s="62" t="s">
        <v>35</v>
      </c>
      <c r="N20" s="62"/>
    </row>
    <row r="21" spans="1:17" x14ac:dyDescent="0.25">
      <c r="L21" s="43"/>
    </row>
  </sheetData>
  <sheetProtection algorithmName="SHA-512" hashValue="knakiqyGHiyT2ZOYLqXnGk2a8/y89MStKqPMyjxEilyBU6OHyylaD+mJ9uvQyyCjrojBynQX4GZmmjSIarhQbg==" saltValue="S0iFN103GTOBR7VfGlHiWQ==" spinCount="100000" sheet="1" objects="1" scenarios="1"/>
  <mergeCells count="21">
    <mergeCell ref="J3:J4"/>
    <mergeCell ref="K3:K4"/>
    <mergeCell ref="L3:L4"/>
    <mergeCell ref="M3:M4"/>
    <mergeCell ref="N3:N4"/>
    <mergeCell ref="C20:G20"/>
    <mergeCell ref="C1:Q1"/>
    <mergeCell ref="A2:A4"/>
    <mergeCell ref="B2:B4"/>
    <mergeCell ref="C2:C4"/>
    <mergeCell ref="D2:Q2"/>
    <mergeCell ref="D3:D4"/>
    <mergeCell ref="E3:E4"/>
    <mergeCell ref="F3:F4"/>
    <mergeCell ref="G3:G4"/>
    <mergeCell ref="H3:H4"/>
    <mergeCell ref="I3:I4"/>
    <mergeCell ref="P3:P4"/>
    <mergeCell ref="Q3:Q4"/>
    <mergeCell ref="O3:O4"/>
    <mergeCell ref="M16:N16"/>
  </mergeCells>
  <pageMargins left="0.7" right="0.7" top="0.75" bottom="0.75" header="0.3" footer="0.3"/>
  <pageSetup paperSize="9" scale="66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00781-FD4A-490E-A913-33B9A75F5BB0}">
  <dimension ref="A1:T21"/>
  <sheetViews>
    <sheetView view="pageBreakPreview" zoomScale="60" zoomScaleNormal="70" workbookViewId="0">
      <selection activeCell="N36" sqref="N36"/>
    </sheetView>
  </sheetViews>
  <sheetFormatPr defaultRowHeight="15.75" x14ac:dyDescent="0.25"/>
  <cols>
    <col min="1" max="1" width="3.5" customWidth="1"/>
    <col min="2" max="2" width="21.375" customWidth="1"/>
    <col min="3" max="3" width="9.875" customWidth="1"/>
    <col min="4" max="7" width="11.25" customWidth="1"/>
    <col min="8" max="11" width="9.875" customWidth="1"/>
    <col min="12" max="12" width="11.875" customWidth="1"/>
    <col min="13" max="13" width="9.875" customWidth="1"/>
    <col min="14" max="14" width="12.375" customWidth="1"/>
    <col min="15" max="15" width="11.625" customWidth="1"/>
    <col min="16" max="17" width="9.875" customWidth="1"/>
  </cols>
  <sheetData>
    <row r="1" spans="1:20" ht="18.75" x14ac:dyDescent="0.25">
      <c r="C1" s="79" t="s">
        <v>33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</row>
    <row r="2" spans="1:20" x14ac:dyDescent="0.25">
      <c r="A2" s="80" t="s">
        <v>28</v>
      </c>
      <c r="B2" s="81" t="s">
        <v>0</v>
      </c>
      <c r="C2" s="82" t="s">
        <v>1</v>
      </c>
      <c r="D2" s="83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5"/>
    </row>
    <row r="3" spans="1:20" x14ac:dyDescent="0.25">
      <c r="A3" s="80"/>
      <c r="B3" s="81"/>
      <c r="C3" s="82"/>
      <c r="D3" s="81" t="s">
        <v>30</v>
      </c>
      <c r="E3" s="81" t="s">
        <v>2</v>
      </c>
      <c r="F3" s="81" t="s">
        <v>3</v>
      </c>
      <c r="G3" s="81" t="s">
        <v>4</v>
      </c>
      <c r="H3" s="81" t="s">
        <v>5</v>
      </c>
      <c r="I3" s="81" t="s">
        <v>6</v>
      </c>
      <c r="J3" s="81" t="s">
        <v>7</v>
      </c>
      <c r="K3" s="90" t="s">
        <v>8</v>
      </c>
      <c r="L3" s="88" t="s">
        <v>9</v>
      </c>
      <c r="M3" s="91" t="s">
        <v>10</v>
      </c>
      <c r="N3" s="88" t="s">
        <v>11</v>
      </c>
      <c r="O3" s="88" t="s">
        <v>12</v>
      </c>
      <c r="P3" s="86" t="s">
        <v>13</v>
      </c>
      <c r="Q3" s="87" t="s">
        <v>14</v>
      </c>
    </row>
    <row r="4" spans="1:20" ht="88.5" customHeight="1" x14ac:dyDescent="0.25">
      <c r="A4" s="80"/>
      <c r="B4" s="81"/>
      <c r="C4" s="82"/>
      <c r="D4" s="81"/>
      <c r="E4" s="81"/>
      <c r="F4" s="81"/>
      <c r="G4" s="81"/>
      <c r="H4" s="81"/>
      <c r="I4" s="81"/>
      <c r="J4" s="81"/>
      <c r="K4" s="90"/>
      <c r="L4" s="88"/>
      <c r="M4" s="91"/>
      <c r="N4" s="88"/>
      <c r="O4" s="88"/>
      <c r="P4" s="86"/>
      <c r="Q4" s="87"/>
    </row>
    <row r="5" spans="1:20" x14ac:dyDescent="0.25">
      <c r="A5" s="28">
        <v>1</v>
      </c>
      <c r="B5" s="42">
        <v>1</v>
      </c>
      <c r="C5" s="42">
        <f t="shared" ref="C5:Q5" si="0">B5+1</f>
        <v>2</v>
      </c>
      <c r="D5" s="42">
        <f t="shared" si="0"/>
        <v>3</v>
      </c>
      <c r="E5" s="42">
        <f t="shared" si="0"/>
        <v>4</v>
      </c>
      <c r="F5" s="42">
        <f t="shared" si="0"/>
        <v>5</v>
      </c>
      <c r="G5" s="42">
        <f t="shared" si="0"/>
        <v>6</v>
      </c>
      <c r="H5" s="42">
        <f t="shared" si="0"/>
        <v>7</v>
      </c>
      <c r="I5" s="42">
        <f t="shared" si="0"/>
        <v>8</v>
      </c>
      <c r="J5" s="42">
        <f t="shared" si="0"/>
        <v>9</v>
      </c>
      <c r="K5" s="42">
        <f t="shared" si="0"/>
        <v>10</v>
      </c>
      <c r="L5" s="42">
        <f t="shared" si="0"/>
        <v>11</v>
      </c>
      <c r="M5" s="42">
        <f t="shared" si="0"/>
        <v>12</v>
      </c>
      <c r="N5" s="42">
        <f t="shared" si="0"/>
        <v>13</v>
      </c>
      <c r="O5" s="42">
        <f t="shared" si="0"/>
        <v>14</v>
      </c>
      <c r="P5" s="41">
        <f t="shared" si="0"/>
        <v>15</v>
      </c>
      <c r="Q5" s="42">
        <f t="shared" si="0"/>
        <v>16</v>
      </c>
    </row>
    <row r="6" spans="1:20" ht="25.5" x14ac:dyDescent="0.25">
      <c r="A6" s="11">
        <v>1</v>
      </c>
      <c r="B6" s="31" t="s">
        <v>15</v>
      </c>
      <c r="C6" s="32">
        <v>33.048000000000002</v>
      </c>
      <c r="D6" s="33">
        <v>208749.61640672846</v>
      </c>
      <c r="E6" s="33">
        <v>22654.400000000001</v>
      </c>
      <c r="F6" s="34"/>
      <c r="G6" s="35">
        <f>+D6+E6-F6</f>
        <v>231404.01640672845</v>
      </c>
      <c r="H6" s="35">
        <f>ROUND(G6/C6,1)</f>
        <v>7002.1</v>
      </c>
      <c r="I6" s="36">
        <f>ROUND(H6/$H$15,2)</f>
        <v>1.1200000000000001</v>
      </c>
      <c r="J6" s="36">
        <v>0.82</v>
      </c>
      <c r="K6" s="36">
        <f>ROUND(I6/J6,2)</f>
        <v>1.37</v>
      </c>
      <c r="L6" s="35">
        <f>ROUND(IF($L$16-K6&gt;0,($H$15*C6*($L$16-K6)*J6),0),1)</f>
        <v>0</v>
      </c>
      <c r="M6" s="37">
        <f t="shared" ref="M6:M14" si="1">$K$16-K6</f>
        <v>-0.76004422500000013</v>
      </c>
      <c r="N6" s="35">
        <f t="shared" ref="N6:N14" si="2">ROUND($H$15*M6*C6*J6,1)</f>
        <v>-128562.6</v>
      </c>
      <c r="O6" s="35">
        <f>IF(N6&gt;0,N6,0)</f>
        <v>0</v>
      </c>
      <c r="P6" s="45">
        <f>ROUND($O$16*(O6/$O$15),1)</f>
        <v>0</v>
      </c>
      <c r="Q6" s="39">
        <f>ROUND(K6+P6/(C6*$H$15*J6),2)</f>
        <v>1.37</v>
      </c>
      <c r="T6" s="44"/>
    </row>
    <row r="7" spans="1:20" ht="25.5" x14ac:dyDescent="0.25">
      <c r="A7" s="11">
        <v>2</v>
      </c>
      <c r="B7" s="2" t="s">
        <v>16</v>
      </c>
      <c r="C7" s="3">
        <v>5.508</v>
      </c>
      <c r="D7" s="4">
        <v>32792.144413092872</v>
      </c>
      <c r="E7" s="4">
        <v>1265.3</v>
      </c>
      <c r="F7" s="5"/>
      <c r="G7" s="6">
        <f t="shared" ref="G7:G14" si="3">+D7+E7-F7</f>
        <v>34057.444413092875</v>
      </c>
      <c r="H7" s="6">
        <f t="shared" ref="H7:H14" si="4">ROUND(G7/C7,1)</f>
        <v>6183.3</v>
      </c>
      <c r="I7" s="7">
        <f t="shared" ref="I7:I14" si="5">ROUND(H7/$H$15,2)</f>
        <v>0.99</v>
      </c>
      <c r="J7" s="7">
        <v>1.24</v>
      </c>
      <c r="K7" s="7">
        <f t="shared" ref="K7:K14" si="6">ROUND(I7/J7,2)</f>
        <v>0.8</v>
      </c>
      <c r="L7" s="35">
        <f t="shared" ref="L7:L14" si="7">ROUND(IF($L$16-K7&gt;0,($H$15*C7*($L$16-K7)*J7),0),1)</f>
        <v>0</v>
      </c>
      <c r="M7" s="8">
        <f t="shared" si="1"/>
        <v>-0.19004422500000007</v>
      </c>
      <c r="N7" s="6">
        <f t="shared" si="2"/>
        <v>-8101.9</v>
      </c>
      <c r="O7" s="6">
        <f>IF(N7&gt;0,N7,0)</f>
        <v>0</v>
      </c>
      <c r="P7" s="46">
        <f t="shared" ref="P7:P13" si="8">ROUND($O$16*(O7/$O$15),1)</f>
        <v>0</v>
      </c>
      <c r="Q7" s="10">
        <f t="shared" ref="Q7:Q15" si="9">ROUND(K7+P7/(C7*$H$15*J7),2)</f>
        <v>0.8</v>
      </c>
      <c r="T7" s="44"/>
    </row>
    <row r="8" spans="1:20" ht="25.5" x14ac:dyDescent="0.25">
      <c r="A8" s="11">
        <v>3</v>
      </c>
      <c r="B8" s="2" t="s">
        <v>17</v>
      </c>
      <c r="C8" s="3">
        <v>4.968</v>
      </c>
      <c r="D8" s="4">
        <v>37224.120414260447</v>
      </c>
      <c r="E8" s="4">
        <v>0</v>
      </c>
      <c r="F8" s="5"/>
      <c r="G8" s="6">
        <f t="shared" si="3"/>
        <v>37224.120414260447</v>
      </c>
      <c r="H8" s="6">
        <f t="shared" si="4"/>
        <v>7492.8</v>
      </c>
      <c r="I8" s="7">
        <f t="shared" si="5"/>
        <v>1.2</v>
      </c>
      <c r="J8" s="7">
        <v>2.17</v>
      </c>
      <c r="K8" s="7">
        <f>ROUND(I8/J8,2)</f>
        <v>0.55000000000000004</v>
      </c>
      <c r="L8" s="35">
        <f t="shared" si="7"/>
        <v>303.2</v>
      </c>
      <c r="M8" s="8">
        <f t="shared" si="1"/>
        <v>5.9955774999999933E-2</v>
      </c>
      <c r="N8" s="6">
        <f t="shared" si="2"/>
        <v>4034.5</v>
      </c>
      <c r="O8" s="6">
        <f>IF(N8&gt;0,N8,0)</f>
        <v>4034.5</v>
      </c>
      <c r="P8" s="46">
        <f t="shared" si="8"/>
        <v>1714.6</v>
      </c>
      <c r="Q8" s="10">
        <f t="shared" si="9"/>
        <v>0.57999999999999996</v>
      </c>
      <c r="T8" s="44"/>
    </row>
    <row r="9" spans="1:20" ht="25.5" x14ac:dyDescent="0.25">
      <c r="A9" s="11">
        <v>4</v>
      </c>
      <c r="B9" s="2" t="s">
        <v>18</v>
      </c>
      <c r="C9" s="3">
        <v>9.4700000000000006</v>
      </c>
      <c r="D9" s="4">
        <v>47983.244635733543</v>
      </c>
      <c r="E9" s="4">
        <v>1762</v>
      </c>
      <c r="F9" s="5"/>
      <c r="G9" s="6">
        <f t="shared" si="3"/>
        <v>49745.244635733543</v>
      </c>
      <c r="H9" s="6">
        <f t="shared" si="4"/>
        <v>5252.9</v>
      </c>
      <c r="I9" s="7">
        <f t="shared" si="5"/>
        <v>0.84</v>
      </c>
      <c r="J9" s="7">
        <v>1.39</v>
      </c>
      <c r="K9" s="7">
        <f t="shared" si="6"/>
        <v>0.6</v>
      </c>
      <c r="L9" s="35">
        <f t="shared" si="7"/>
        <v>0</v>
      </c>
      <c r="M9" s="8">
        <f>$K$16-K9</f>
        <v>9.955775E-3</v>
      </c>
      <c r="N9" s="6">
        <f t="shared" si="2"/>
        <v>818</v>
      </c>
      <c r="O9" s="6">
        <f t="shared" ref="O9:O14" si="10">IF(N9&gt;0,N9,0)</f>
        <v>818</v>
      </c>
      <c r="P9" s="46">
        <f t="shared" si="8"/>
        <v>347.6</v>
      </c>
      <c r="Q9" s="10">
        <f t="shared" si="9"/>
        <v>0.6</v>
      </c>
      <c r="T9" s="44"/>
    </row>
    <row r="10" spans="1:20" ht="25.5" x14ac:dyDescent="0.25">
      <c r="A10" s="11">
        <v>5</v>
      </c>
      <c r="B10" s="2" t="s">
        <v>19</v>
      </c>
      <c r="C10" s="3">
        <v>1.839</v>
      </c>
      <c r="D10" s="4">
        <v>13227.714828784174</v>
      </c>
      <c r="E10" s="4">
        <v>0</v>
      </c>
      <c r="F10" s="5"/>
      <c r="G10" s="6">
        <f t="shared" si="3"/>
        <v>13227.714828784174</v>
      </c>
      <c r="H10" s="6">
        <f t="shared" si="4"/>
        <v>7192.9</v>
      </c>
      <c r="I10" s="7">
        <f>ROUND(H10/$H$15,2)</f>
        <v>1.1499999999999999</v>
      </c>
      <c r="J10" s="7">
        <v>2.06</v>
      </c>
      <c r="K10" s="7">
        <f t="shared" si="6"/>
        <v>0.56000000000000005</v>
      </c>
      <c r="L10" s="35">
        <f t="shared" si="7"/>
        <v>0</v>
      </c>
      <c r="M10" s="8">
        <f t="shared" si="1"/>
        <v>4.9955774999999925E-2</v>
      </c>
      <c r="N10" s="6">
        <f>ROUND($H$15*M10*C10*J10,1)</f>
        <v>1181.3</v>
      </c>
      <c r="O10" s="6">
        <f t="shared" si="10"/>
        <v>1181.3</v>
      </c>
      <c r="P10" s="46">
        <f t="shared" si="8"/>
        <v>502</v>
      </c>
      <c r="Q10" s="10">
        <f t="shared" si="9"/>
        <v>0.57999999999999996</v>
      </c>
      <c r="T10" s="44"/>
    </row>
    <row r="11" spans="1:20" ht="25.5" x14ac:dyDescent="0.25">
      <c r="A11" s="11">
        <v>6</v>
      </c>
      <c r="B11" s="2" t="s">
        <v>20</v>
      </c>
      <c r="C11" s="3">
        <v>4.8259999999999996</v>
      </c>
      <c r="D11" s="4">
        <v>22739.410438928346</v>
      </c>
      <c r="E11" s="4">
        <v>523.5</v>
      </c>
      <c r="F11" s="5"/>
      <c r="G11" s="6">
        <f t="shared" si="3"/>
        <v>23262.910438928346</v>
      </c>
      <c r="H11" s="6">
        <f t="shared" si="4"/>
        <v>4820.3</v>
      </c>
      <c r="I11" s="7">
        <f t="shared" si="5"/>
        <v>0.77</v>
      </c>
      <c r="J11" s="7">
        <v>1.85</v>
      </c>
      <c r="K11" s="7">
        <f>ROUND(I11/J11,2)</f>
        <v>0.42</v>
      </c>
      <c r="L11" s="35">
        <f t="shared" si="7"/>
        <v>7495.7</v>
      </c>
      <c r="M11" s="8">
        <f t="shared" si="1"/>
        <v>0.18995577499999999</v>
      </c>
      <c r="N11" s="6">
        <f t="shared" si="2"/>
        <v>10585.9</v>
      </c>
      <c r="O11" s="6">
        <f t="shared" si="10"/>
        <v>10585.9</v>
      </c>
      <c r="P11" s="46">
        <f t="shared" si="8"/>
        <v>4498.8</v>
      </c>
      <c r="Q11" s="10">
        <f t="shared" si="9"/>
        <v>0.5</v>
      </c>
      <c r="T11" s="44"/>
    </row>
    <row r="12" spans="1:20" ht="25.5" x14ac:dyDescent="0.25">
      <c r="A12" s="11">
        <v>7</v>
      </c>
      <c r="B12" s="2" t="s">
        <v>21</v>
      </c>
      <c r="C12" s="3">
        <v>4.6929999999999996</v>
      </c>
      <c r="D12" s="4">
        <v>17769.993838176291</v>
      </c>
      <c r="E12" s="4">
        <v>8356.1</v>
      </c>
      <c r="F12" s="5"/>
      <c r="G12" s="6">
        <f t="shared" si="3"/>
        <v>26126.09383817629</v>
      </c>
      <c r="H12" s="6">
        <f t="shared" si="4"/>
        <v>5567</v>
      </c>
      <c r="I12" s="7">
        <f t="shared" si="5"/>
        <v>0.89</v>
      </c>
      <c r="J12" s="7">
        <v>1.65</v>
      </c>
      <c r="K12" s="7">
        <f t="shared" si="6"/>
        <v>0.54</v>
      </c>
      <c r="L12" s="35">
        <f t="shared" si="7"/>
        <v>701.1</v>
      </c>
      <c r="M12" s="8">
        <f t="shared" si="1"/>
        <v>6.9955774999999942E-2</v>
      </c>
      <c r="N12" s="6">
        <f t="shared" si="2"/>
        <v>3381.2</v>
      </c>
      <c r="O12" s="6">
        <f t="shared" si="10"/>
        <v>3381.2</v>
      </c>
      <c r="P12" s="46">
        <f>ROUND($O$16*(O12/$O$15),1)+0.1</f>
        <v>1437</v>
      </c>
      <c r="Q12" s="10">
        <f t="shared" si="9"/>
        <v>0.56999999999999995</v>
      </c>
      <c r="T12" s="44"/>
    </row>
    <row r="13" spans="1:20" ht="25.5" x14ac:dyDescent="0.25">
      <c r="A13" s="11">
        <v>8</v>
      </c>
      <c r="B13" s="2" t="s">
        <v>22</v>
      </c>
      <c r="C13" s="3">
        <v>4.8129999999999997</v>
      </c>
      <c r="D13" s="4">
        <v>25801.782527000189</v>
      </c>
      <c r="E13" s="4">
        <v>2675.6</v>
      </c>
      <c r="F13" s="5"/>
      <c r="G13" s="6">
        <f t="shared" si="3"/>
        <v>28477.382527000187</v>
      </c>
      <c r="H13" s="6">
        <f t="shared" si="4"/>
        <v>5916.8</v>
      </c>
      <c r="I13" s="7">
        <f t="shared" si="5"/>
        <v>0.95</v>
      </c>
      <c r="J13" s="7">
        <v>1.24</v>
      </c>
      <c r="K13" s="7">
        <f t="shared" si="6"/>
        <v>0.77</v>
      </c>
      <c r="L13" s="35">
        <f t="shared" si="7"/>
        <v>0</v>
      </c>
      <c r="M13" s="8">
        <f t="shared" si="1"/>
        <v>-0.16004422500000004</v>
      </c>
      <c r="N13" s="6">
        <f t="shared" si="2"/>
        <v>-5962</v>
      </c>
      <c r="O13" s="6">
        <f t="shared" si="10"/>
        <v>0</v>
      </c>
      <c r="P13" s="46">
        <f t="shared" si="8"/>
        <v>0</v>
      </c>
      <c r="Q13" s="10">
        <f t="shared" si="9"/>
        <v>0.77</v>
      </c>
      <c r="T13" s="44"/>
    </row>
    <row r="14" spans="1:20" ht="25.5" x14ac:dyDescent="0.25">
      <c r="A14" s="11">
        <v>9</v>
      </c>
      <c r="B14" s="2" t="s">
        <v>23</v>
      </c>
      <c r="C14" s="3">
        <v>12.569000000000001</v>
      </c>
      <c r="D14" s="4">
        <v>58292.41851923924</v>
      </c>
      <c r="E14" s="4">
        <v>8361.9</v>
      </c>
      <c r="F14" s="5"/>
      <c r="G14" s="6">
        <f t="shared" si="3"/>
        <v>66654.318519239241</v>
      </c>
      <c r="H14" s="6">
        <f t="shared" si="4"/>
        <v>5303.1</v>
      </c>
      <c r="I14" s="7">
        <f t="shared" si="5"/>
        <v>0.85</v>
      </c>
      <c r="J14" s="7">
        <v>1.06</v>
      </c>
      <c r="K14" s="7">
        <f t="shared" si="6"/>
        <v>0.8</v>
      </c>
      <c r="L14" s="35">
        <f t="shared" si="7"/>
        <v>0</v>
      </c>
      <c r="M14" s="8">
        <f t="shared" si="1"/>
        <v>-0.19004422500000007</v>
      </c>
      <c r="N14" s="6">
        <f t="shared" si="2"/>
        <v>-15804.4</v>
      </c>
      <c r="O14" s="6">
        <f t="shared" si="10"/>
        <v>0</v>
      </c>
      <c r="P14" s="46">
        <f>ROUND($O$16*(O14/$O$15),1)</f>
        <v>0</v>
      </c>
      <c r="Q14" s="10">
        <f t="shared" si="9"/>
        <v>0.8</v>
      </c>
      <c r="T14" s="44"/>
    </row>
    <row r="15" spans="1:20" x14ac:dyDescent="0.25">
      <c r="A15" s="18"/>
      <c r="B15" s="12" t="s">
        <v>24</v>
      </c>
      <c r="C15" s="13">
        <f>SUM(C6:C14)</f>
        <v>81.734000000000009</v>
      </c>
      <c r="D15" s="14">
        <f>SUM(D6:D14)</f>
        <v>464580.44602194353</v>
      </c>
      <c r="E15" s="14">
        <f>SUM(E6:E14)</f>
        <v>45598.8</v>
      </c>
      <c r="F15" s="15">
        <f>SUM(F6:F14)</f>
        <v>0</v>
      </c>
      <c r="G15" s="14">
        <f>SUM(G6:G14)</f>
        <v>510179.24602194357</v>
      </c>
      <c r="H15" s="9">
        <f>ROUND(G15/C15,1)</f>
        <v>6241.9</v>
      </c>
      <c r="I15" s="15">
        <f>SUM(I6:I14)/9</f>
        <v>0.97333333333333327</v>
      </c>
      <c r="J15" s="15">
        <f>SUM(J6:J14)/9</f>
        <v>1.4977777777777779</v>
      </c>
      <c r="K15" s="16">
        <f>ROUND(I15/J15,2)</f>
        <v>0.65</v>
      </c>
      <c r="L15" s="47">
        <f>SUM(L6:L14)</f>
        <v>8500</v>
      </c>
      <c r="M15" s="9"/>
      <c r="N15" s="14">
        <f>SUM(N6:N14)</f>
        <v>-138430</v>
      </c>
      <c r="O15" s="14">
        <f>SUM(O6:O14)</f>
        <v>20000.900000000001</v>
      </c>
      <c r="P15" s="14">
        <f>SUM(P6:P14)</f>
        <v>8500</v>
      </c>
      <c r="Q15" s="10">
        <f t="shared" si="9"/>
        <v>0.66</v>
      </c>
    </row>
    <row r="16" spans="1:20" s="56" customFormat="1" ht="38.25" x14ac:dyDescent="0.25">
      <c r="A16" s="48"/>
      <c r="B16" s="49" t="s">
        <v>25</v>
      </c>
      <c r="C16" s="50"/>
      <c r="D16" s="50"/>
      <c r="E16" s="50"/>
      <c r="F16" s="50"/>
      <c r="G16" s="50"/>
      <c r="H16" s="50" t="s">
        <v>26</v>
      </c>
      <c r="I16" s="50">
        <v>8500</v>
      </c>
      <c r="J16" s="51" t="s">
        <v>27</v>
      </c>
      <c r="K16" s="52">
        <f>L16*1.1</f>
        <v>0.60995577499999998</v>
      </c>
      <c r="L16" s="53">
        <v>0.55450524999999995</v>
      </c>
      <c r="M16" s="89"/>
      <c r="N16" s="89"/>
      <c r="O16" s="54">
        <f>I16</f>
        <v>8500</v>
      </c>
      <c r="P16" s="50">
        <f>P15-O16</f>
        <v>0</v>
      </c>
      <c r="Q16" s="55"/>
    </row>
    <row r="17" spans="1:17" s="56" customFormat="1" x14ac:dyDescent="0.25">
      <c r="A17" s="48"/>
      <c r="B17" s="57"/>
      <c r="C17" s="50"/>
      <c r="D17" s="50"/>
      <c r="E17" s="50"/>
      <c r="F17" s="50"/>
      <c r="G17" s="50"/>
      <c r="H17" s="50"/>
      <c r="I17" s="58"/>
      <c r="J17" s="50"/>
      <c r="K17" s="59"/>
      <c r="L17" s="60"/>
      <c r="M17" s="61"/>
      <c r="N17" s="54"/>
      <c r="O17" s="54"/>
      <c r="P17" s="58"/>
      <c r="Q17" s="55"/>
    </row>
    <row r="19" spans="1:17" x14ac:dyDescent="0.25">
      <c r="L19" s="1"/>
    </row>
    <row r="20" spans="1:17" ht="58.5" customHeight="1" x14ac:dyDescent="0.3">
      <c r="C20" s="78" t="s">
        <v>34</v>
      </c>
      <c r="D20" s="78"/>
      <c r="E20" s="78"/>
      <c r="F20" s="78"/>
      <c r="G20" s="78"/>
      <c r="H20" s="62"/>
      <c r="I20" s="62"/>
      <c r="J20" s="62"/>
      <c r="K20" s="62"/>
      <c r="L20" s="62"/>
      <c r="M20" s="62" t="s">
        <v>35</v>
      </c>
      <c r="N20" s="62"/>
    </row>
    <row r="21" spans="1:17" x14ac:dyDescent="0.25">
      <c r="L21" s="43"/>
    </row>
  </sheetData>
  <sheetProtection algorithmName="SHA-512" hashValue="jpASJbm9b521G9ReEMIzYXQX56hwO5saGMrvG9dN0919QaZmjwrTMy5BOXbBDnp2rGGjpsx577aJsMReIfdeIw==" saltValue="EV+IuDlrNtfEsT0qXxIe2w==" spinCount="100000" sheet="1" objects="1" scenarios="1"/>
  <mergeCells count="21">
    <mergeCell ref="J3:J4"/>
    <mergeCell ref="K3:K4"/>
    <mergeCell ref="L3:L4"/>
    <mergeCell ref="M3:M4"/>
    <mergeCell ref="N3:N4"/>
    <mergeCell ref="C20:G20"/>
    <mergeCell ref="C1:Q1"/>
    <mergeCell ref="A2:A4"/>
    <mergeCell ref="B2:B4"/>
    <mergeCell ref="C2:C4"/>
    <mergeCell ref="D2:Q2"/>
    <mergeCell ref="D3:D4"/>
    <mergeCell ref="E3:E4"/>
    <mergeCell ref="F3:F4"/>
    <mergeCell ref="G3:G4"/>
    <mergeCell ref="H3:H4"/>
    <mergeCell ref="O3:O4"/>
    <mergeCell ref="P3:P4"/>
    <mergeCell ref="Q3:Q4"/>
    <mergeCell ref="M16:N16"/>
    <mergeCell ref="I3:I4"/>
  </mergeCells>
  <pageMargins left="0.7" right="0.7" top="0.75" bottom="0.75" header="0.3" footer="0.3"/>
  <pageSetup paperSize="9" scale="66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B6CE8-E104-44D1-8F7F-E5E6790335E3}">
  <dimension ref="A1:Q20"/>
  <sheetViews>
    <sheetView tabSelected="1" view="pageBreakPreview" zoomScale="80" zoomScaleNormal="70" zoomScaleSheetLayoutView="80" workbookViewId="0">
      <selection activeCell="V16" sqref="V16"/>
    </sheetView>
  </sheetViews>
  <sheetFormatPr defaultRowHeight="15.75" x14ac:dyDescent="0.25"/>
  <cols>
    <col min="1" max="1" width="3.5" customWidth="1"/>
    <col min="2" max="2" width="21.375" customWidth="1"/>
    <col min="3" max="3" width="9.875" customWidth="1"/>
    <col min="4" max="5" width="12.5" customWidth="1"/>
    <col min="6" max="6" width="9.875" customWidth="1"/>
    <col min="7" max="7" width="11.5" customWidth="1"/>
    <col min="8" max="11" width="9.875" customWidth="1"/>
    <col min="12" max="12" width="11.875" customWidth="1"/>
    <col min="13" max="13" width="9.875" customWidth="1"/>
    <col min="14" max="14" width="12.375" customWidth="1"/>
    <col min="15" max="15" width="11.625" customWidth="1"/>
    <col min="16" max="17" width="9.875" customWidth="1"/>
  </cols>
  <sheetData>
    <row r="1" spans="1:17" ht="18.75" x14ac:dyDescent="0.25">
      <c r="C1" s="79" t="s">
        <v>36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</row>
    <row r="2" spans="1:17" x14ac:dyDescent="0.25">
      <c r="A2" s="80" t="s">
        <v>28</v>
      </c>
      <c r="B2" s="81" t="s">
        <v>0</v>
      </c>
      <c r="C2" s="82" t="s">
        <v>1</v>
      </c>
      <c r="D2" s="83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5"/>
    </row>
    <row r="3" spans="1:17" x14ac:dyDescent="0.25">
      <c r="A3" s="80"/>
      <c r="B3" s="81"/>
      <c r="C3" s="82"/>
      <c r="D3" s="81" t="s">
        <v>31</v>
      </c>
      <c r="E3" s="81" t="s">
        <v>2</v>
      </c>
      <c r="F3" s="81" t="s">
        <v>3</v>
      </c>
      <c r="G3" s="81" t="s">
        <v>32</v>
      </c>
      <c r="H3" s="81" t="s">
        <v>5</v>
      </c>
      <c r="I3" s="81" t="s">
        <v>6</v>
      </c>
      <c r="J3" s="81" t="s">
        <v>7</v>
      </c>
      <c r="K3" s="90" t="s">
        <v>8</v>
      </c>
      <c r="L3" s="88" t="s">
        <v>9</v>
      </c>
      <c r="M3" s="91" t="s">
        <v>10</v>
      </c>
      <c r="N3" s="88" t="s">
        <v>11</v>
      </c>
      <c r="O3" s="88" t="s">
        <v>12</v>
      </c>
      <c r="P3" s="86" t="s">
        <v>13</v>
      </c>
      <c r="Q3" s="87" t="s">
        <v>14</v>
      </c>
    </row>
    <row r="4" spans="1:17" ht="88.5" customHeight="1" x14ac:dyDescent="0.25">
      <c r="A4" s="80"/>
      <c r="B4" s="81"/>
      <c r="C4" s="82"/>
      <c r="D4" s="81"/>
      <c r="E4" s="81"/>
      <c r="F4" s="81"/>
      <c r="G4" s="81"/>
      <c r="H4" s="81"/>
      <c r="I4" s="81"/>
      <c r="J4" s="81"/>
      <c r="K4" s="90"/>
      <c r="L4" s="88"/>
      <c r="M4" s="91"/>
      <c r="N4" s="88"/>
      <c r="O4" s="88"/>
      <c r="P4" s="86"/>
      <c r="Q4" s="87"/>
    </row>
    <row r="5" spans="1:17" x14ac:dyDescent="0.25">
      <c r="A5" s="28">
        <v>1</v>
      </c>
      <c r="B5" s="42">
        <v>1</v>
      </c>
      <c r="C5" s="42">
        <f t="shared" ref="C5:Q5" si="0">B5+1</f>
        <v>2</v>
      </c>
      <c r="D5" s="42">
        <f t="shared" si="0"/>
        <v>3</v>
      </c>
      <c r="E5" s="42">
        <f t="shared" si="0"/>
        <v>4</v>
      </c>
      <c r="F5" s="42">
        <f t="shared" si="0"/>
        <v>5</v>
      </c>
      <c r="G5" s="42">
        <f t="shared" si="0"/>
        <v>6</v>
      </c>
      <c r="H5" s="42">
        <f t="shared" si="0"/>
        <v>7</v>
      </c>
      <c r="I5" s="42">
        <f t="shared" si="0"/>
        <v>8</v>
      </c>
      <c r="J5" s="42">
        <f t="shared" si="0"/>
        <v>9</v>
      </c>
      <c r="K5" s="42">
        <f t="shared" si="0"/>
        <v>10</v>
      </c>
      <c r="L5" s="42">
        <f t="shared" si="0"/>
        <v>11</v>
      </c>
      <c r="M5" s="42">
        <f t="shared" si="0"/>
        <v>12</v>
      </c>
      <c r="N5" s="42">
        <f t="shared" si="0"/>
        <v>13</v>
      </c>
      <c r="O5" s="42">
        <f t="shared" si="0"/>
        <v>14</v>
      </c>
      <c r="P5" s="41">
        <f t="shared" si="0"/>
        <v>15</v>
      </c>
      <c r="Q5" s="42">
        <f t="shared" si="0"/>
        <v>16</v>
      </c>
    </row>
    <row r="6" spans="1:17" ht="25.5" x14ac:dyDescent="0.25">
      <c r="A6" s="11">
        <v>1</v>
      </c>
      <c r="B6" s="31" t="s">
        <v>15</v>
      </c>
      <c r="C6" s="32">
        <v>33.048000000000002</v>
      </c>
      <c r="D6" s="33">
        <v>223196.0608610299</v>
      </c>
      <c r="E6" s="33">
        <v>21361</v>
      </c>
      <c r="F6" s="34"/>
      <c r="G6" s="35">
        <f>+D6+E6-F6</f>
        <v>244557.0608610299</v>
      </c>
      <c r="H6" s="35">
        <f>ROUND(G6/C6,1)</f>
        <v>7400.1</v>
      </c>
      <c r="I6" s="36">
        <f>ROUND(H6/$H$15,2)</f>
        <v>1.1499999999999999</v>
      </c>
      <c r="J6" s="36">
        <f>'2026 - 10 млн'!J6</f>
        <v>0.82</v>
      </c>
      <c r="K6" s="36">
        <f>ROUND(I6/J6,2)</f>
        <v>1.4</v>
      </c>
      <c r="L6" s="35">
        <f>ROUND(IF($L$16-K6&gt;0,($H$15*C6*($L$16-K6)*J6),0),1)</f>
        <v>0</v>
      </c>
      <c r="M6" s="37">
        <f t="shared" ref="M6:M14" si="1">$K$16-K6</f>
        <v>-0.80413131999999987</v>
      </c>
      <c r="N6" s="35">
        <f t="shared" ref="N6:N14" si="2">ROUND($H$15*M6*C6*J6,1)</f>
        <v>-140391.4</v>
      </c>
      <c r="O6" s="35">
        <f>IF(N6&gt;0,N6,0)</f>
        <v>0</v>
      </c>
      <c r="P6" s="38">
        <f>ROUND($O$16*(O6/$O$15),1)</f>
        <v>0</v>
      </c>
      <c r="Q6" s="39">
        <f>ROUND(K6+P6/(C6*$H$15*J6),2)</f>
        <v>1.4</v>
      </c>
    </row>
    <row r="7" spans="1:17" ht="25.5" x14ac:dyDescent="0.25">
      <c r="A7" s="11">
        <v>2</v>
      </c>
      <c r="B7" s="2" t="s">
        <v>16</v>
      </c>
      <c r="C7" s="3">
        <v>5.508</v>
      </c>
      <c r="D7" s="4">
        <v>35045.481750333391</v>
      </c>
      <c r="E7" s="4">
        <v>0</v>
      </c>
      <c r="F7" s="5"/>
      <c r="G7" s="6">
        <f t="shared" ref="G7:G14" si="3">+D7+E7-F7</f>
        <v>35045.481750333391</v>
      </c>
      <c r="H7" s="6">
        <f t="shared" ref="H7:H14" si="4">ROUND(G7/C7,1)</f>
        <v>6362.7</v>
      </c>
      <c r="I7" s="7">
        <f t="shared" ref="I7:I14" si="5">ROUND(H7/$H$15,2)</f>
        <v>0.99</v>
      </c>
      <c r="J7" s="36">
        <f>'2026 - 10 млн'!J7</f>
        <v>1.24</v>
      </c>
      <c r="K7" s="7">
        <f t="shared" ref="K7:K14" si="6">ROUND(I7/J7,2)</f>
        <v>0.8</v>
      </c>
      <c r="L7" s="35">
        <f t="shared" ref="L7:L14" si="7">ROUND(IF($L$16-K7&gt;0,($H$15*C7*($L$16-K7)*J7),0),1)</f>
        <v>0</v>
      </c>
      <c r="M7" s="8">
        <f t="shared" si="1"/>
        <v>-0.20413132</v>
      </c>
      <c r="N7" s="6">
        <f t="shared" si="2"/>
        <v>-8982.1</v>
      </c>
      <c r="O7" s="6">
        <f>IF(N7&gt;0,N7,0)</f>
        <v>0</v>
      </c>
      <c r="P7" s="9">
        <f t="shared" ref="P7:P13" si="8">ROUND($O$16*(O7/$O$15),1)</f>
        <v>0</v>
      </c>
      <c r="Q7" s="10">
        <f t="shared" ref="Q7:Q15" si="9">ROUND(K7+P7/(C7*$H$15*J7),2)</f>
        <v>0.8</v>
      </c>
    </row>
    <row r="8" spans="1:17" ht="25.5" x14ac:dyDescent="0.25">
      <c r="A8" s="11">
        <v>3</v>
      </c>
      <c r="B8" s="2" t="s">
        <v>17</v>
      </c>
      <c r="C8" s="3">
        <v>4.968</v>
      </c>
      <c r="D8" s="4">
        <v>39512.219395493383</v>
      </c>
      <c r="E8" s="4">
        <v>0</v>
      </c>
      <c r="F8" s="5"/>
      <c r="G8" s="6">
        <f t="shared" si="3"/>
        <v>39512.219395493383</v>
      </c>
      <c r="H8" s="6">
        <f t="shared" si="4"/>
        <v>7953.3</v>
      </c>
      <c r="I8" s="7">
        <f t="shared" si="5"/>
        <v>1.23</v>
      </c>
      <c r="J8" s="36">
        <f>'2026 - 10 млн'!J8</f>
        <v>2.17</v>
      </c>
      <c r="K8" s="7">
        <f>ROUND(I8/J8,2)</f>
        <v>0.56999999999999995</v>
      </c>
      <c r="L8" s="35">
        <f t="shared" si="7"/>
        <v>0</v>
      </c>
      <c r="M8" s="8">
        <f t="shared" si="1"/>
        <v>2.5868680000000088E-2</v>
      </c>
      <c r="N8" s="6">
        <f t="shared" si="2"/>
        <v>1796.7</v>
      </c>
      <c r="O8" s="6">
        <f>IF(N8&gt;0,N8,0)</f>
        <v>1796.7</v>
      </c>
      <c r="P8" s="9">
        <f>ROUND($O$16*(O8/$O$15),1)</f>
        <v>847.9</v>
      </c>
      <c r="Q8" s="10">
        <f t="shared" si="9"/>
        <v>0.57999999999999996</v>
      </c>
    </row>
    <row r="9" spans="1:17" ht="25.5" x14ac:dyDescent="0.25">
      <c r="A9" s="11">
        <v>4</v>
      </c>
      <c r="B9" s="2" t="s">
        <v>18</v>
      </c>
      <c r="C9" s="3">
        <v>9.4700000000000006</v>
      </c>
      <c r="D9" s="4">
        <v>51503.94055780358</v>
      </c>
      <c r="E9" s="4">
        <v>769.2</v>
      </c>
      <c r="F9" s="5"/>
      <c r="G9" s="6">
        <f t="shared" si="3"/>
        <v>52273.140557803577</v>
      </c>
      <c r="H9" s="6">
        <f t="shared" si="4"/>
        <v>5519.9</v>
      </c>
      <c r="I9" s="7">
        <f t="shared" si="5"/>
        <v>0.86</v>
      </c>
      <c r="J9" s="36">
        <f>'2026 - 10 млн'!J9</f>
        <v>1.39</v>
      </c>
      <c r="K9" s="7">
        <f t="shared" si="6"/>
        <v>0.62</v>
      </c>
      <c r="L9" s="35">
        <f t="shared" si="7"/>
        <v>0</v>
      </c>
      <c r="M9" s="8">
        <f>$K$16-K9</f>
        <v>-2.4131319999999956E-2</v>
      </c>
      <c r="N9" s="6">
        <f t="shared" si="2"/>
        <v>-2046.4</v>
      </c>
      <c r="O9" s="6">
        <f t="shared" ref="O9:O14" si="10">IF(N9&gt;0,N9,0)</f>
        <v>0</v>
      </c>
      <c r="P9" s="9">
        <f t="shared" ref="P9:P13" si="11">ROUND($O$16*(O9/$O$15),1)</f>
        <v>0</v>
      </c>
      <c r="Q9" s="10">
        <f t="shared" si="9"/>
        <v>0.62</v>
      </c>
    </row>
    <row r="10" spans="1:17" ht="25.5" x14ac:dyDescent="0.25">
      <c r="A10" s="11">
        <v>5</v>
      </c>
      <c r="B10" s="2" t="s">
        <v>19</v>
      </c>
      <c r="C10" s="3">
        <v>1.839</v>
      </c>
      <c r="D10" s="4">
        <v>13910.455122738538</v>
      </c>
      <c r="E10" s="4">
        <v>0</v>
      </c>
      <c r="F10" s="5"/>
      <c r="G10" s="6">
        <f t="shared" si="3"/>
        <v>13910.455122738538</v>
      </c>
      <c r="H10" s="6">
        <f t="shared" si="4"/>
        <v>7564.1</v>
      </c>
      <c r="I10" s="7">
        <f>ROUND(H10/$H$15,2)</f>
        <v>1.17</v>
      </c>
      <c r="J10" s="36">
        <f>'2026 - 10 млн'!J10</f>
        <v>2.06</v>
      </c>
      <c r="K10" s="7">
        <f t="shared" si="6"/>
        <v>0.56999999999999995</v>
      </c>
      <c r="L10" s="35">
        <f t="shared" si="7"/>
        <v>0</v>
      </c>
      <c r="M10" s="8">
        <f t="shared" si="1"/>
        <v>2.5868680000000088E-2</v>
      </c>
      <c r="N10" s="6">
        <f>ROUND($H$15*M10*C10*J10,1)</f>
        <v>631.4</v>
      </c>
      <c r="O10" s="6">
        <f t="shared" si="10"/>
        <v>631.4</v>
      </c>
      <c r="P10" s="9">
        <f t="shared" si="11"/>
        <v>298</v>
      </c>
      <c r="Q10" s="10">
        <f t="shared" si="9"/>
        <v>0.57999999999999996</v>
      </c>
    </row>
    <row r="11" spans="1:17" ht="25.5" x14ac:dyDescent="0.25">
      <c r="A11" s="11">
        <v>6</v>
      </c>
      <c r="B11" s="2" t="s">
        <v>20</v>
      </c>
      <c r="C11" s="3">
        <v>4.8259999999999996</v>
      </c>
      <c r="D11" s="4">
        <v>24112.353957452164</v>
      </c>
      <c r="E11" s="4">
        <v>0</v>
      </c>
      <c r="F11" s="5"/>
      <c r="G11" s="6">
        <f t="shared" si="3"/>
        <v>24112.353957452164</v>
      </c>
      <c r="H11" s="6">
        <f t="shared" si="4"/>
        <v>4996.3</v>
      </c>
      <c r="I11" s="7">
        <f t="shared" si="5"/>
        <v>0.78</v>
      </c>
      <c r="J11" s="36">
        <f>'2026 - 10 млн'!J11</f>
        <v>1.85</v>
      </c>
      <c r="K11" s="7">
        <f>ROUND(I11/J11,2)</f>
        <v>0.42</v>
      </c>
      <c r="L11" s="35">
        <f t="shared" si="7"/>
        <v>7000</v>
      </c>
      <c r="M11" s="8">
        <f t="shared" si="1"/>
        <v>0.17586868000000005</v>
      </c>
      <c r="N11" s="6">
        <f t="shared" si="2"/>
        <v>10115.799999999999</v>
      </c>
      <c r="O11" s="6">
        <f t="shared" si="10"/>
        <v>10115.799999999999</v>
      </c>
      <c r="P11" s="9">
        <f t="shared" si="11"/>
        <v>4774.1000000000004</v>
      </c>
      <c r="Q11" s="10">
        <f t="shared" si="9"/>
        <v>0.5</v>
      </c>
    </row>
    <row r="12" spans="1:17" ht="25.5" x14ac:dyDescent="0.25">
      <c r="A12" s="11">
        <v>7</v>
      </c>
      <c r="B12" s="2" t="s">
        <v>21</v>
      </c>
      <c r="C12" s="3">
        <v>4.6929999999999996</v>
      </c>
      <c r="D12" s="4">
        <v>18570.813827187347</v>
      </c>
      <c r="E12" s="4">
        <v>8549.6</v>
      </c>
      <c r="F12" s="5"/>
      <c r="G12" s="6">
        <f t="shared" si="3"/>
        <v>27120.413827187345</v>
      </c>
      <c r="H12" s="6">
        <f t="shared" si="4"/>
        <v>5778.9</v>
      </c>
      <c r="I12" s="7">
        <f t="shared" si="5"/>
        <v>0.9</v>
      </c>
      <c r="J12" s="36">
        <f>'2026 - 10 млн'!J12</f>
        <v>1.65</v>
      </c>
      <c r="K12" s="7">
        <f t="shared" si="6"/>
        <v>0.55000000000000004</v>
      </c>
      <c r="L12" s="35">
        <f t="shared" si="7"/>
        <v>0</v>
      </c>
      <c r="M12" s="8">
        <f t="shared" si="1"/>
        <v>4.5868679999999995E-2</v>
      </c>
      <c r="N12" s="6">
        <f t="shared" si="2"/>
        <v>2288.3000000000002</v>
      </c>
      <c r="O12" s="6">
        <f t="shared" si="10"/>
        <v>2288.3000000000002</v>
      </c>
      <c r="P12" s="9">
        <f t="shared" si="11"/>
        <v>1080</v>
      </c>
      <c r="Q12" s="10">
        <f t="shared" si="9"/>
        <v>0.56999999999999995</v>
      </c>
    </row>
    <row r="13" spans="1:17" ht="25.5" x14ac:dyDescent="0.25">
      <c r="A13" s="11">
        <v>8</v>
      </c>
      <c r="B13" s="2" t="s">
        <v>22</v>
      </c>
      <c r="C13" s="3">
        <v>4.8129999999999997</v>
      </c>
      <c r="D13" s="4">
        <v>27623.195544324954</v>
      </c>
      <c r="E13" s="4">
        <v>0</v>
      </c>
      <c r="F13" s="5"/>
      <c r="G13" s="6">
        <f t="shared" si="3"/>
        <v>27623.195544324954</v>
      </c>
      <c r="H13" s="6">
        <f t="shared" si="4"/>
        <v>5739.3</v>
      </c>
      <c r="I13" s="7">
        <f t="shared" si="5"/>
        <v>0.89</v>
      </c>
      <c r="J13" s="36">
        <f>'2026 - 10 млн'!J13</f>
        <v>1.24</v>
      </c>
      <c r="K13" s="7">
        <f t="shared" si="6"/>
        <v>0.72</v>
      </c>
      <c r="L13" s="35">
        <f t="shared" si="7"/>
        <v>0</v>
      </c>
      <c r="M13" s="8">
        <f t="shared" si="1"/>
        <v>-0.12413131999999993</v>
      </c>
      <c r="N13" s="6">
        <f t="shared" si="2"/>
        <v>-4772.8</v>
      </c>
      <c r="O13" s="6">
        <f t="shared" si="10"/>
        <v>0</v>
      </c>
      <c r="P13" s="9">
        <f t="shared" si="11"/>
        <v>0</v>
      </c>
      <c r="Q13" s="10">
        <f t="shared" si="9"/>
        <v>0.72</v>
      </c>
    </row>
    <row r="14" spans="1:17" s="70" customFormat="1" ht="25.5" x14ac:dyDescent="0.25">
      <c r="A14" s="71">
        <v>9</v>
      </c>
      <c r="B14" s="72" t="s">
        <v>23</v>
      </c>
      <c r="C14" s="73">
        <v>12.569000000000001</v>
      </c>
      <c r="D14" s="35">
        <v>62091.992373555549</v>
      </c>
      <c r="E14" s="35">
        <v>322.10000000000002</v>
      </c>
      <c r="F14" s="39"/>
      <c r="G14" s="35">
        <f t="shared" si="3"/>
        <v>62414.092373555548</v>
      </c>
      <c r="H14" s="35">
        <f t="shared" si="4"/>
        <v>4965.7</v>
      </c>
      <c r="I14" s="36">
        <f t="shared" si="5"/>
        <v>0.77</v>
      </c>
      <c r="J14" s="36">
        <f>'2026 - 10 млн'!J14</f>
        <v>1.06</v>
      </c>
      <c r="K14" s="36">
        <f t="shared" si="6"/>
        <v>0.73</v>
      </c>
      <c r="L14" s="35">
        <f t="shared" si="7"/>
        <v>0</v>
      </c>
      <c r="M14" s="37">
        <f t="shared" si="1"/>
        <v>-0.13413131999999994</v>
      </c>
      <c r="N14" s="35">
        <f t="shared" si="2"/>
        <v>-11513.1</v>
      </c>
      <c r="O14" s="35">
        <f t="shared" si="10"/>
        <v>0</v>
      </c>
      <c r="P14" s="38">
        <f>ROUND($O$16*(O14/$O$15),1)</f>
        <v>0</v>
      </c>
      <c r="Q14" s="39">
        <f t="shared" si="9"/>
        <v>0.73</v>
      </c>
    </row>
    <row r="15" spans="1:17" s="70" customFormat="1" x14ac:dyDescent="0.25">
      <c r="A15" s="74"/>
      <c r="B15" s="74" t="s">
        <v>24</v>
      </c>
      <c r="C15" s="75">
        <f>SUM(C6:C14)</f>
        <v>81.734000000000009</v>
      </c>
      <c r="D15" s="38">
        <f>SUM(D6:D14)</f>
        <v>495566.51338991878</v>
      </c>
      <c r="E15" s="38">
        <f>SUM(E6:E14)</f>
        <v>31001.9</v>
      </c>
      <c r="F15" s="76">
        <f>SUM(F6:F14)</f>
        <v>0</v>
      </c>
      <c r="G15" s="38">
        <f>SUM(G6:G14)</f>
        <v>526568.41338991874</v>
      </c>
      <c r="H15" s="38">
        <f>ROUND(G15/C15,1)</f>
        <v>6442.5</v>
      </c>
      <c r="I15" s="76">
        <f>SUM(I6:I14)/9</f>
        <v>0.97111111111111115</v>
      </c>
      <c r="J15" s="76">
        <f>SUM(J6:J14)/9</f>
        <v>1.4977777777777779</v>
      </c>
      <c r="K15" s="77">
        <f>ROUND(I15/J15,2)</f>
        <v>0.65</v>
      </c>
      <c r="L15" s="38">
        <f>SUM(L6:L14)</f>
        <v>7000</v>
      </c>
      <c r="M15" s="75"/>
      <c r="N15" s="76">
        <f>SUM(N6:N14)</f>
        <v>-152873.60000000001</v>
      </c>
      <c r="O15" s="76">
        <f>SUM(O6:O14)</f>
        <v>14832.2</v>
      </c>
      <c r="P15" s="38">
        <f>SUM(P6:P14)</f>
        <v>7000</v>
      </c>
      <c r="Q15" s="39">
        <f t="shared" si="9"/>
        <v>0.66</v>
      </c>
    </row>
    <row r="16" spans="1:17" s="69" customFormat="1" ht="38.25" x14ac:dyDescent="0.25">
      <c r="A16" s="63"/>
      <c r="B16" s="63" t="s">
        <v>25</v>
      </c>
      <c r="C16" s="64"/>
      <c r="D16" s="64"/>
      <c r="E16" s="64"/>
      <c r="F16" s="64"/>
      <c r="G16" s="64"/>
      <c r="H16" s="64" t="s">
        <v>26</v>
      </c>
      <c r="I16" s="64">
        <v>7000</v>
      </c>
      <c r="J16" s="65" t="s">
        <v>27</v>
      </c>
      <c r="K16" s="66">
        <f>L16*1.1</f>
        <v>0.59586868000000004</v>
      </c>
      <c r="L16" s="93">
        <v>0.54169880000000004</v>
      </c>
      <c r="M16" s="92"/>
      <c r="N16" s="92"/>
      <c r="O16" s="67">
        <f>I16</f>
        <v>7000</v>
      </c>
      <c r="P16" s="64">
        <f>P15-O16</f>
        <v>0</v>
      </c>
      <c r="Q16" s="68"/>
    </row>
    <row r="17" spans="1:17" x14ac:dyDescent="0.25">
      <c r="A17" s="27"/>
      <c r="B17" s="19"/>
      <c r="C17" s="20"/>
      <c r="D17" s="20"/>
      <c r="E17" s="20"/>
      <c r="F17" s="20"/>
      <c r="G17" s="20"/>
      <c r="H17" s="20"/>
      <c r="I17" s="21"/>
      <c r="J17" s="20"/>
      <c r="K17" s="22"/>
      <c r="L17" s="23"/>
      <c r="M17" s="24"/>
      <c r="N17" s="25"/>
      <c r="O17" s="25"/>
      <c r="P17" s="21"/>
      <c r="Q17" s="26"/>
    </row>
    <row r="20" spans="1:17" ht="75" customHeight="1" x14ac:dyDescent="0.3">
      <c r="C20" s="78" t="s">
        <v>34</v>
      </c>
      <c r="D20" s="78"/>
      <c r="E20" s="78"/>
      <c r="F20" s="78"/>
      <c r="G20" s="78"/>
      <c r="H20" s="62"/>
      <c r="I20" s="62"/>
      <c r="J20" s="62"/>
      <c r="K20" s="62"/>
      <c r="L20" s="62"/>
      <c r="M20" s="62" t="s">
        <v>35</v>
      </c>
      <c r="N20" s="62"/>
    </row>
  </sheetData>
  <sheetProtection algorithmName="SHA-512" hashValue="K2A1zFDvVzahiozRhXpbwgO5o5S5PiYIp3Xf2fkTjrU+PoLRGLDAxUBtAw2/wHdKd/i1pt7gXKzwZp1I49V7Mg==" saltValue="ufBVgj9OQwH8F7rXy2r2QA==" spinCount="100000" sheet="1" objects="1" scenarios="1"/>
  <mergeCells count="21">
    <mergeCell ref="J3:J4"/>
    <mergeCell ref="K3:K4"/>
    <mergeCell ref="L3:L4"/>
    <mergeCell ref="M3:M4"/>
    <mergeCell ref="N3:N4"/>
    <mergeCell ref="C20:G20"/>
    <mergeCell ref="C1:Q1"/>
    <mergeCell ref="A2:A4"/>
    <mergeCell ref="B2:B4"/>
    <mergeCell ref="C2:C4"/>
    <mergeCell ref="D2:Q2"/>
    <mergeCell ref="D3:D4"/>
    <mergeCell ref="E3:E4"/>
    <mergeCell ref="F3:F4"/>
    <mergeCell ref="G3:G4"/>
    <mergeCell ref="H3:H4"/>
    <mergeCell ref="O3:O4"/>
    <mergeCell ref="P3:P4"/>
    <mergeCell ref="Q3:Q4"/>
    <mergeCell ref="M16:N16"/>
    <mergeCell ref="I3:I4"/>
  </mergeCells>
  <pageMargins left="0.7" right="0.7" top="0.75" bottom="0.75" header="0.3" footer="0.3"/>
  <pageSetup paperSize="9" scale="66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2026 - 10 млн</vt:lpstr>
      <vt:lpstr>2027 - 8,5 млн</vt:lpstr>
      <vt:lpstr>2028 - 7,0 млн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София</dc:creator>
  <cp:lastModifiedBy>Андреева Ирина</cp:lastModifiedBy>
  <cp:lastPrinted>2025-11-05T12:50:11Z</cp:lastPrinted>
  <dcterms:created xsi:type="dcterms:W3CDTF">2025-10-18T13:27:07Z</dcterms:created>
  <dcterms:modified xsi:type="dcterms:W3CDTF">2025-11-05T12:54:10Z</dcterms:modified>
</cp:coreProperties>
</file>